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770" windowHeight="6240" tabRatio="658" firstSheet="1" activeTab="3"/>
  </bookViews>
  <sheets>
    <sheet name="pldt" sheetId="1" state="veryHidden" r:id="rId1"/>
    <sheet name="퇴직금 산출" sheetId="2" r:id="rId2"/>
    <sheet name="소득공제" sheetId="3" r:id="rId3"/>
    <sheet name="111" sheetId="4" r:id="rId4"/>
    <sheet name="222" sheetId="5" r:id="rId5"/>
  </sheets>
  <definedNames>
    <definedName name="_xlnm.Print_Area" localSheetId="1">'퇴직금 산출'!$A:$IV</definedName>
  </definedNames>
  <calcPr fullCalcOnLoad="1"/>
</workbook>
</file>

<file path=xl/comments4.xml><?xml version="1.0" encoding="utf-8"?>
<comments xmlns="http://schemas.openxmlformats.org/spreadsheetml/2006/main">
  <authors>
    <author>김동권</author>
  </authors>
  <commentList>
    <comment ref="F3" authorId="0">
      <text>
        <r>
          <rPr>
            <b/>
            <sz val="12"/>
            <rFont val="굴림"/>
            <family val="3"/>
          </rPr>
          <t>날짜 형식은 아래와 같음.
예)2000.01.15이면
 "20020115"의 형태로 입력합</t>
        </r>
      </text>
    </comment>
    <comment ref="G3" authorId="0">
      <text>
        <r>
          <rPr>
            <b/>
            <sz val="9"/>
            <rFont val="굴림"/>
            <family val="3"/>
          </rPr>
          <t>날짜 형식은 아래와 같음.
예)2000.01.15이면
 "20020115"의 형태로 입력합</t>
        </r>
      </text>
    </comment>
    <comment ref="H4" authorId="0">
      <text>
        <r>
          <rPr>
            <b/>
            <sz val="9"/>
            <rFont val="굴림"/>
            <family val="3"/>
          </rPr>
          <t xml:space="preserve">입사 당해을 포함하여 근무년수 기입
</t>
        </r>
      </text>
    </comment>
    <comment ref="D9" authorId="0">
      <text>
        <r>
          <rPr>
            <sz val="11"/>
            <rFont val="굴림"/>
            <family val="3"/>
          </rPr>
          <t>최근 3개월치의 급여 각월에 넣음
단, 1개월미만의 급여는 전월급여
부터 앞으로 3개월 급여을 넣을것</t>
        </r>
        <r>
          <rPr>
            <sz val="9"/>
            <rFont val="굴림"/>
            <family val="3"/>
          </rPr>
          <t xml:space="preserve">
</t>
        </r>
      </text>
    </comment>
    <comment ref="H10" authorId="0">
      <text>
        <r>
          <rPr>
            <b/>
            <sz val="11"/>
            <rFont val="굴림"/>
            <family val="3"/>
          </rPr>
          <t>최근 일년간의 상여금을 넣을것
본 계산식에서는 보너스400%기준으로 작성되었으며, 4개의 금액을 지우고 한칸에만 1년치 상여금을 넣어도 됨</t>
        </r>
      </text>
    </comment>
  </commentList>
</comments>
</file>

<file path=xl/sharedStrings.xml><?xml version="1.0" encoding="utf-8"?>
<sst xmlns="http://schemas.openxmlformats.org/spreadsheetml/2006/main" count="197" uniqueCount="161">
  <si>
    <t>입사일(퇴직금기산일)</t>
  </si>
  <si>
    <t>퇴사일(인사기준)</t>
  </si>
  <si>
    <t>일수</t>
  </si>
  <si>
    <t>월수</t>
  </si>
  <si>
    <t>년수</t>
  </si>
  <si>
    <t>근속일수</t>
  </si>
  <si>
    <t>가산일수</t>
  </si>
  <si>
    <t>퇴직금일수</t>
  </si>
  <si>
    <t>월평균임금</t>
  </si>
  <si>
    <t>퇴직급여</t>
  </si>
  <si>
    <t>퇴직특별공제</t>
  </si>
  <si>
    <t>퇴직소득공제</t>
  </si>
  <si>
    <t>공제계</t>
  </si>
  <si>
    <t>퇴직과세표준</t>
  </si>
  <si>
    <t>연과세표준</t>
  </si>
  <si>
    <t>적용세율</t>
  </si>
  <si>
    <t>연세액</t>
  </si>
  <si>
    <t>산출세액</t>
  </si>
  <si>
    <t>세액공제</t>
  </si>
  <si>
    <t>갑근세</t>
  </si>
  <si>
    <t>주민세</t>
  </si>
  <si>
    <t>계</t>
  </si>
  <si>
    <t>국민연금퇴직전환금</t>
  </si>
  <si>
    <t>차인지급액</t>
  </si>
  <si>
    <t xml:space="preserve">   - 퇴직소득공제 : 과세대상근속년수에 따라 적용</t>
  </si>
  <si>
    <t xml:space="preserve">   - 퇴직과세표준 : 퇴직금 - 퇴직특별공제 - 퇴직소득공제</t>
  </si>
  <si>
    <t xml:space="preserve">   - 국민연금 퇴직전환금 : 국민연금자료상의 국민연금 퇴직전환금</t>
  </si>
  <si>
    <t xml:space="preserve">   - 연과세표준    : 퇴직과세표준 / 과세대상 근속년수</t>
  </si>
  <si>
    <t xml:space="preserve">   - 적용세율       : 연과세표준에 따른 세율적용</t>
  </si>
  <si>
    <t xml:space="preserve">   - 산출세액       : 연세액 * 과세대상 근속년수</t>
  </si>
  <si>
    <t xml:space="preserve">   - 세액공제       : 산출세액 / 2</t>
  </si>
  <si>
    <t xml:space="preserve">   - 차인지급액   : 현퇴직금 - 갑근세 - 주민세 - 국민연금 퇴직전환금</t>
  </si>
  <si>
    <t xml:space="preserve">    - 월평균임금 : 급여,상여,년월차의 30일분 평균임금</t>
  </si>
  <si>
    <t xml:space="preserve">    - 근속기간    : 당해정산일(퇴직일) - 최종정산일(입사일)</t>
  </si>
  <si>
    <t xml:space="preserve">    - 퇴직금       : 월평균임금  * 근속기간  /  365</t>
  </si>
  <si>
    <t>차감징수세액 주민세</t>
  </si>
  <si>
    <t>차감징수세액 계</t>
  </si>
  <si>
    <t xml:space="preserve">   - 차감징수 갑근세 : 결정갑근세 - 기납 갑근세</t>
  </si>
  <si>
    <t xml:space="preserve">   - 차감징수 주민세 : 결정주민세 - 기납주민세</t>
  </si>
  <si>
    <t>1. 퇴직금 계산(2차분 퇴직금)</t>
  </si>
  <si>
    <t xml:space="preserve">   - 과세대상 근속년수 : (동일연도중 종전정산일 + 현정산일) /365 (잔여 1일은 1년으로 계산)</t>
  </si>
  <si>
    <t xml:space="preserve">   - 과세대상 퇴직금 : 종전퇴직금 + 현퇴직금  (즉 동일연도중 퇴직금의 합계)</t>
  </si>
  <si>
    <t xml:space="preserve">   - 퇴직특별공제 : 과세대상 퇴직금(종전퇴직금 + 현퇴직금) / 2</t>
  </si>
  <si>
    <t>■ 동일 연도중 2회이상 퇴직금 정산시 퇴직세액 산출방법</t>
  </si>
  <si>
    <t xml:space="preserve">   - 퇴직소득원천징수 영수증상 1차분의 퇴직금 내역은 종전근무지 퇴직소득 형식으로 처리한다.</t>
  </si>
  <si>
    <t xml:space="preserve"> 2. 퇴직세액 계산</t>
  </si>
  <si>
    <t>○ 퇴직금내역(1차)</t>
  </si>
  <si>
    <t>○ 퇴직금내역(2차)</t>
  </si>
  <si>
    <t>결정 갑근세</t>
  </si>
  <si>
    <t>결정 주민세</t>
  </si>
  <si>
    <t>결정세액 계</t>
  </si>
  <si>
    <t>차감징수세액 갑근세</t>
  </si>
  <si>
    <t>차인지급액</t>
  </si>
  <si>
    <t>까지</t>
  </si>
  <si>
    <t>퇴직금 산출명세서</t>
  </si>
  <si>
    <t>근무 부서</t>
  </si>
  <si>
    <t>성    명</t>
  </si>
  <si>
    <t>주민번호</t>
  </si>
  <si>
    <t>입사일자</t>
  </si>
  <si>
    <t>퇴사일자</t>
  </si>
  <si>
    <t>근무년수</t>
  </si>
  <si>
    <t>근무일수</t>
  </si>
  <si>
    <t>비   고</t>
  </si>
  <si>
    <t xml:space="preserve">퇴    직    금    산    출    내    역   </t>
  </si>
  <si>
    <t>1.평균임금(월평균액)</t>
  </si>
  <si>
    <t>임</t>
  </si>
  <si>
    <t>구</t>
  </si>
  <si>
    <t>11월부터</t>
  </si>
  <si>
    <t>12월부터</t>
  </si>
  <si>
    <t>1월부터</t>
  </si>
  <si>
    <t>계</t>
  </si>
  <si>
    <t>월   평   균</t>
  </si>
  <si>
    <t>까지</t>
  </si>
  <si>
    <t>금</t>
  </si>
  <si>
    <t>분</t>
  </si>
  <si>
    <t>연  간  상  여  금</t>
  </si>
  <si>
    <t>2.퇴  직  금</t>
  </si>
  <si>
    <t>근  무  년  수</t>
  </si>
  <si>
    <t>초  과  일  수</t>
  </si>
  <si>
    <t>기            타</t>
  </si>
  <si>
    <t>합            계</t>
  </si>
  <si>
    <t>3.차감지급액</t>
  </si>
  <si>
    <t>세</t>
  </si>
  <si>
    <t>퇴직</t>
  </si>
  <si>
    <t>현( 주 )근무지</t>
  </si>
  <si>
    <t>과세표준</t>
  </si>
  <si>
    <t>퇴직소득과세표준</t>
  </si>
  <si>
    <t>전( 종 )근무지</t>
  </si>
  <si>
    <t>연 평 균 과세표준</t>
  </si>
  <si>
    <t>소득</t>
  </si>
  <si>
    <t>세액계산</t>
  </si>
  <si>
    <t>세         액</t>
  </si>
  <si>
    <t>액</t>
  </si>
  <si>
    <t>퇴직소득특별공제</t>
  </si>
  <si>
    <t>연 평 균 산출금액</t>
  </si>
  <si>
    <t>퇴직소득공제액</t>
  </si>
  <si>
    <t>산  출  세  액</t>
  </si>
  <si>
    <t>공제</t>
  </si>
  <si>
    <t xml:space="preserve">세액공제 </t>
  </si>
  <si>
    <t>기타세액공제</t>
  </si>
  <si>
    <t>4.공제금내역</t>
  </si>
  <si>
    <t>내역</t>
  </si>
  <si>
    <t>소   득   세</t>
  </si>
  <si>
    <t xml:space="preserve">주   민   세   </t>
  </si>
  <si>
    <t>가   불   금</t>
  </si>
  <si>
    <t>퇴직전환금</t>
  </si>
  <si>
    <t>실  지  금  액</t>
  </si>
  <si>
    <t>관리팀</t>
  </si>
  <si>
    <t>퇴직금 산출명세서</t>
  </si>
  <si>
    <t>근무 부서</t>
  </si>
  <si>
    <t>성    명</t>
  </si>
  <si>
    <t>주민번호</t>
  </si>
  <si>
    <t>입사일자</t>
  </si>
  <si>
    <t>퇴사일자</t>
  </si>
  <si>
    <t>근무년수</t>
  </si>
  <si>
    <t>근무일수</t>
  </si>
  <si>
    <t>비   고</t>
  </si>
  <si>
    <t xml:space="preserve">퇴    직    금    산    출    내    역   </t>
  </si>
  <si>
    <t>1.평균임금(월평균액)</t>
  </si>
  <si>
    <t>임</t>
  </si>
  <si>
    <t>구</t>
  </si>
  <si>
    <t>계</t>
  </si>
  <si>
    <t>월   평   균</t>
  </si>
  <si>
    <t>금</t>
  </si>
  <si>
    <t>분</t>
  </si>
  <si>
    <t>연  간  상  여  금</t>
  </si>
  <si>
    <t>2.퇴  직  금</t>
  </si>
  <si>
    <t>근  무  년  수</t>
  </si>
  <si>
    <t>초  과  일  수</t>
  </si>
  <si>
    <t>기            타</t>
  </si>
  <si>
    <t>합            계</t>
  </si>
  <si>
    <t>3.차감지급액</t>
  </si>
  <si>
    <t>세</t>
  </si>
  <si>
    <t>퇴직</t>
  </si>
  <si>
    <t>현( 주 )근무지</t>
  </si>
  <si>
    <t>과세표준</t>
  </si>
  <si>
    <t>퇴직소득과세표준</t>
  </si>
  <si>
    <t>전( 종 )근무지</t>
  </si>
  <si>
    <t>연 평 균 과세표준</t>
  </si>
  <si>
    <t>소득</t>
  </si>
  <si>
    <t>세액계산</t>
  </si>
  <si>
    <t>세         액</t>
  </si>
  <si>
    <t>액</t>
  </si>
  <si>
    <t>퇴직소득특별공제</t>
  </si>
  <si>
    <t>연 평 균 산출금액</t>
  </si>
  <si>
    <t>퇴직소득공제액</t>
  </si>
  <si>
    <t>산  출  세  액</t>
  </si>
  <si>
    <t>공제</t>
  </si>
  <si>
    <t xml:space="preserve">세액공제 </t>
  </si>
  <si>
    <t>기타세액공제</t>
  </si>
  <si>
    <t>4.공제금내역</t>
  </si>
  <si>
    <t>내역</t>
  </si>
  <si>
    <t>소   득   세</t>
  </si>
  <si>
    <t xml:space="preserve">주   민   세   </t>
  </si>
  <si>
    <t>가   불   금</t>
  </si>
  <si>
    <t>퇴직전환금</t>
  </si>
  <si>
    <t>실  지  금  액</t>
  </si>
  <si>
    <t>관리팀</t>
  </si>
  <si>
    <t>10월</t>
  </si>
  <si>
    <t>11월</t>
  </si>
  <si>
    <t>12월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</si>
</sst>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;[Red]&quot;-&quot;#,##0"/>
    <numFmt numFmtId="181" formatCode="#,##0.00;[Red]&quot;-&quot;#,##0.00"/>
    <numFmt numFmtId="182" formatCode="_-* #,##0_-;\-* #,##0_-;_-* &quot;-&quot;??_-;_-@_-"/>
    <numFmt numFmtId="183" formatCode="0.0%"/>
    <numFmt numFmtId="184" formatCode="0.0000%"/>
    <numFmt numFmtId="185" formatCode="0.000%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.000_-;\-* #,##0.000_-;_-* &quot;-&quot;??_-;_-@_-"/>
    <numFmt numFmtId="190" formatCode="_-* #,##0.0_-;\-* #,##0.0_-;_-* &quot;-&quot;??_-;_-@_-"/>
    <numFmt numFmtId="191" formatCode="&quot;일&quot;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mm&quot;월&quot;\ dd&quot;일&quot;"/>
    <numFmt numFmtId="199" formatCode="_-* #,##0.0_-;\-* #,##0.0_-;_-* &quot;-&quot;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&quot;일&quot;"/>
    <numFmt numFmtId="204" formatCode="0&quot;년&quot;"/>
    <numFmt numFmtId="205" formatCode="0&quot;원&quot;"/>
    <numFmt numFmtId="206" formatCode="&quot;월&quot;&quot;부&quot;&quot;터&quot;"/>
    <numFmt numFmtId="207" formatCode="0&quot;월&quot;&quot;부&quot;&quot;터&quot;"/>
    <numFmt numFmtId="208" formatCode="0&quot;월&quot;&quot;까&quot;&quot;지&quot;"/>
  </numFmts>
  <fonts count="64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10"/>
      <name val="Arial"/>
      <family val="2"/>
    </font>
    <font>
      <sz val="12"/>
      <name val="뼻뮝"/>
      <family val="1"/>
    </font>
    <font>
      <sz val="12"/>
      <name val="바탕체"/>
      <family val="1"/>
    </font>
    <font>
      <sz val="11"/>
      <name val="굴림"/>
      <family val="3"/>
    </font>
    <font>
      <sz val="12"/>
      <name val="굴림"/>
      <family val="3"/>
    </font>
    <font>
      <sz val="8"/>
      <name val="돋움"/>
      <family val="3"/>
    </font>
    <font>
      <b/>
      <u val="singleAccounting"/>
      <sz val="16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2"/>
      <color indexed="10"/>
      <name val="굴림"/>
      <family val="3"/>
    </font>
    <font>
      <sz val="11"/>
      <color indexed="10"/>
      <name val="굴림"/>
      <family val="3"/>
    </font>
    <font>
      <sz val="12"/>
      <color indexed="12"/>
      <name val="굴림"/>
      <family val="3"/>
    </font>
    <font>
      <sz val="11"/>
      <color indexed="12"/>
      <name val="굴림"/>
      <family val="3"/>
    </font>
    <font>
      <b/>
      <sz val="18"/>
      <name val="굴림"/>
      <family val="3"/>
    </font>
    <font>
      <b/>
      <sz val="24"/>
      <name val="돋움"/>
      <family val="3"/>
    </font>
    <font>
      <b/>
      <sz val="18"/>
      <name val="돋움"/>
      <family val="3"/>
    </font>
    <font>
      <b/>
      <sz val="14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0"/>
      <name val="굴림"/>
      <family val="3"/>
    </font>
    <font>
      <b/>
      <sz val="20"/>
      <name val="돋움"/>
      <family val="3"/>
    </font>
    <font>
      <sz val="14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thick">
        <color indexed="10"/>
      </right>
      <top style="medium"/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41" fontId="0" fillId="0" borderId="0" xfId="54" applyFont="1" applyAlignment="1">
      <alignment/>
    </xf>
    <xf numFmtId="0" fontId="12" fillId="0" borderId="0" xfId="0" applyFont="1" applyAlignment="1">
      <alignment/>
    </xf>
    <xf numFmtId="41" fontId="11" fillId="0" borderId="0" xfId="54" applyFont="1" applyAlignment="1">
      <alignment/>
    </xf>
    <xf numFmtId="41" fontId="8" fillId="0" borderId="0" xfId="54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41" fontId="8" fillId="0" borderId="0" xfId="54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1" fontId="10" fillId="0" borderId="0" xfId="54" applyFont="1" applyAlignment="1">
      <alignment horizontal="center"/>
    </xf>
    <xf numFmtId="41" fontId="8" fillId="0" borderId="0" xfId="0" applyNumberFormat="1" applyFont="1" applyAlignment="1">
      <alignment/>
    </xf>
    <xf numFmtId="41" fontId="10" fillId="0" borderId="0" xfId="54" applyFont="1" applyBorder="1" applyAlignment="1">
      <alignment horizontal="center"/>
    </xf>
    <xf numFmtId="0" fontId="12" fillId="0" borderId="0" xfId="0" applyFont="1" applyBorder="1" applyAlignment="1">
      <alignment/>
    </xf>
    <xf numFmtId="41" fontId="7" fillId="0" borderId="0" xfId="54" applyFont="1" applyBorder="1" applyAlignment="1">
      <alignment/>
    </xf>
    <xf numFmtId="41" fontId="13" fillId="0" borderId="0" xfId="54" applyFont="1" applyBorder="1" applyAlignment="1">
      <alignment/>
    </xf>
    <xf numFmtId="1" fontId="8" fillId="33" borderId="10" xfId="54" applyNumberFormat="1" applyFont="1" applyFill="1" applyBorder="1" applyAlignment="1">
      <alignment/>
    </xf>
    <xf numFmtId="3" fontId="8" fillId="33" borderId="11" xfId="54" applyNumberFormat="1" applyFont="1" applyFill="1" applyBorder="1" applyAlignment="1">
      <alignment/>
    </xf>
    <xf numFmtId="1" fontId="8" fillId="33" borderId="12" xfId="54" applyNumberFormat="1" applyFont="1" applyFill="1" applyBorder="1" applyAlignment="1">
      <alignment/>
    </xf>
    <xf numFmtId="3" fontId="8" fillId="33" borderId="13" xfId="54" applyNumberFormat="1" applyFont="1" applyFill="1" applyBorder="1" applyAlignment="1">
      <alignment/>
    </xf>
    <xf numFmtId="41" fontId="8" fillId="33" borderId="10" xfId="54" applyFont="1" applyFill="1" applyBorder="1" applyAlignment="1">
      <alignment/>
    </xf>
    <xf numFmtId="41" fontId="8" fillId="33" borderId="11" xfId="54" applyFont="1" applyFill="1" applyBorder="1" applyAlignment="1">
      <alignment/>
    </xf>
    <xf numFmtId="41" fontId="8" fillId="33" borderId="0" xfId="54" applyFont="1" applyFill="1" applyBorder="1" applyAlignment="1">
      <alignment/>
    </xf>
    <xf numFmtId="182" fontId="8" fillId="33" borderId="14" xfId="54" applyNumberFormat="1" applyFont="1" applyFill="1" applyBorder="1" applyAlignment="1">
      <alignment/>
    </xf>
    <xf numFmtId="41" fontId="8" fillId="33" borderId="12" xfId="54" applyFont="1" applyFill="1" applyBorder="1" applyAlignment="1">
      <alignment/>
    </xf>
    <xf numFmtId="41" fontId="8" fillId="33" borderId="13" xfId="54" applyFont="1" applyFill="1" applyBorder="1" applyAlignment="1">
      <alignment/>
    </xf>
    <xf numFmtId="41" fontId="8" fillId="33" borderId="14" xfId="54" applyFont="1" applyFill="1" applyBorder="1" applyAlignment="1">
      <alignment/>
    </xf>
    <xf numFmtId="41" fontId="8" fillId="33" borderId="15" xfId="54" applyFont="1" applyFill="1" applyBorder="1" applyAlignment="1">
      <alignment/>
    </xf>
    <xf numFmtId="41" fontId="8" fillId="33" borderId="16" xfId="54" applyFont="1" applyFill="1" applyBorder="1" applyAlignment="1">
      <alignment/>
    </xf>
    <xf numFmtId="4" fontId="8" fillId="33" borderId="14" xfId="54" applyNumberFormat="1" applyFont="1" applyFill="1" applyBorder="1" applyAlignment="1">
      <alignment/>
    </xf>
    <xf numFmtId="41" fontId="8" fillId="33" borderId="13" xfId="54" applyFont="1" applyFill="1" applyBorder="1" applyAlignment="1">
      <alignment vertical="center"/>
    </xf>
    <xf numFmtId="1" fontId="13" fillId="34" borderId="10" xfId="54" applyNumberFormat="1" applyFont="1" applyFill="1" applyBorder="1" applyAlignment="1">
      <alignment/>
    </xf>
    <xf numFmtId="3" fontId="13" fillId="34" borderId="11" xfId="54" applyNumberFormat="1" applyFont="1" applyFill="1" applyBorder="1" applyAlignment="1">
      <alignment/>
    </xf>
    <xf numFmtId="1" fontId="13" fillId="34" borderId="12" xfId="54" applyNumberFormat="1" applyFont="1" applyFill="1" applyBorder="1" applyAlignment="1">
      <alignment/>
    </xf>
    <xf numFmtId="3" fontId="13" fillId="34" borderId="13" xfId="54" applyNumberFormat="1" applyFont="1" applyFill="1" applyBorder="1" applyAlignment="1">
      <alignment/>
    </xf>
    <xf numFmtId="41" fontId="13" fillId="34" borderId="10" xfId="54" applyFont="1" applyFill="1" applyBorder="1" applyAlignment="1">
      <alignment/>
    </xf>
    <xf numFmtId="41" fontId="8" fillId="34" borderId="11" xfId="54" applyFont="1" applyFill="1" applyBorder="1" applyAlignment="1">
      <alignment/>
    </xf>
    <xf numFmtId="41" fontId="13" fillId="34" borderId="0" xfId="54" applyFont="1" applyFill="1" applyBorder="1" applyAlignment="1">
      <alignment/>
    </xf>
    <xf numFmtId="182" fontId="8" fillId="34" borderId="14" xfId="54" applyNumberFormat="1" applyFont="1" applyFill="1" applyBorder="1" applyAlignment="1">
      <alignment/>
    </xf>
    <xf numFmtId="41" fontId="13" fillId="34" borderId="12" xfId="54" applyFont="1" applyFill="1" applyBorder="1" applyAlignment="1">
      <alignment/>
    </xf>
    <xf numFmtId="41" fontId="8" fillId="34" borderId="13" xfId="54" applyFont="1" applyFill="1" applyBorder="1" applyAlignment="1">
      <alignment/>
    </xf>
    <xf numFmtId="41" fontId="13" fillId="34" borderId="11" xfId="54" applyFont="1" applyFill="1" applyBorder="1" applyAlignment="1">
      <alignment/>
    </xf>
    <xf numFmtId="41" fontId="13" fillId="34" borderId="14" xfId="54" applyFont="1" applyFill="1" applyBorder="1" applyAlignment="1">
      <alignment/>
    </xf>
    <xf numFmtId="41" fontId="13" fillId="34" borderId="13" xfId="54" applyFont="1" applyFill="1" applyBorder="1" applyAlignment="1">
      <alignment/>
    </xf>
    <xf numFmtId="41" fontId="13" fillId="34" borderId="15" xfId="54" applyFont="1" applyFill="1" applyBorder="1" applyAlignment="1">
      <alignment/>
    </xf>
    <xf numFmtId="41" fontId="13" fillId="34" borderId="16" xfId="54" applyFont="1" applyFill="1" applyBorder="1" applyAlignment="1">
      <alignment/>
    </xf>
    <xf numFmtId="41" fontId="8" fillId="34" borderId="10" xfId="54" applyFont="1" applyFill="1" applyBorder="1" applyAlignment="1">
      <alignment/>
    </xf>
    <xf numFmtId="41" fontId="8" fillId="34" borderId="0" xfId="54" applyFont="1" applyFill="1" applyBorder="1" applyAlignment="1">
      <alignment/>
    </xf>
    <xf numFmtId="41" fontId="8" fillId="34" borderId="12" xfId="54" applyFont="1" applyFill="1" applyBorder="1" applyAlignment="1">
      <alignment/>
    </xf>
    <xf numFmtId="4" fontId="13" fillId="34" borderId="14" xfId="54" applyNumberFormat="1" applyFont="1" applyFill="1" applyBorder="1" applyAlignment="1">
      <alignment/>
    </xf>
    <xf numFmtId="41" fontId="13" fillId="34" borderId="13" xfId="54" applyFont="1" applyFill="1" applyBorder="1" applyAlignment="1">
      <alignment vertical="center"/>
    </xf>
    <xf numFmtId="41" fontId="8" fillId="34" borderId="14" xfId="54" applyFont="1" applyFill="1" applyBorder="1" applyAlignment="1">
      <alignment/>
    </xf>
    <xf numFmtId="0" fontId="7" fillId="34" borderId="10" xfId="0" applyFont="1" applyFill="1" applyBorder="1" applyAlignment="1">
      <alignment/>
    </xf>
    <xf numFmtId="41" fontId="14" fillId="34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41" fontId="14" fillId="34" borderId="14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41" fontId="14" fillId="34" borderId="13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41" fontId="14" fillId="34" borderId="16" xfId="0" applyNumberFormat="1" applyFont="1" applyFill="1" applyBorder="1" applyAlignment="1">
      <alignment/>
    </xf>
    <xf numFmtId="0" fontId="8" fillId="33" borderId="17" xfId="54" applyNumberFormat="1" applyFont="1" applyFill="1" applyBorder="1" applyAlignment="1">
      <alignment horizontal="left"/>
    </xf>
    <xf numFmtId="0" fontId="8" fillId="33" borderId="18" xfId="54" applyNumberFormat="1" applyFont="1" applyFill="1" applyBorder="1" applyAlignment="1">
      <alignment horizontal="left"/>
    </xf>
    <xf numFmtId="0" fontId="8" fillId="33" borderId="19" xfId="54" applyNumberFormat="1" applyFont="1" applyFill="1" applyBorder="1" applyAlignment="1">
      <alignment horizontal="left"/>
    </xf>
    <xf numFmtId="0" fontId="8" fillId="33" borderId="20" xfId="54" applyNumberFormat="1" applyFont="1" applyFill="1" applyBorder="1" applyAlignment="1">
      <alignment horizontal="left"/>
    </xf>
    <xf numFmtId="0" fontId="13" fillId="34" borderId="17" xfId="54" applyNumberFormat="1" applyFont="1" applyFill="1" applyBorder="1" applyAlignment="1">
      <alignment/>
    </xf>
    <xf numFmtId="0" fontId="13" fillId="34" borderId="18" xfId="54" applyNumberFormat="1" applyFont="1" applyFill="1" applyBorder="1" applyAlignment="1">
      <alignment/>
    </xf>
    <xf numFmtId="0" fontId="13" fillId="34" borderId="19" xfId="54" applyNumberFormat="1" applyFont="1" applyFill="1" applyBorder="1" applyAlignment="1">
      <alignment/>
    </xf>
    <xf numFmtId="0" fontId="13" fillId="34" borderId="20" xfId="54" applyNumberFormat="1" applyFont="1" applyFill="1" applyBorder="1" applyAlignment="1">
      <alignment/>
    </xf>
    <xf numFmtId="0" fontId="8" fillId="34" borderId="17" xfId="54" applyNumberFormat="1" applyFont="1" applyFill="1" applyBorder="1" applyAlignment="1">
      <alignment/>
    </xf>
    <xf numFmtId="0" fontId="8" fillId="34" borderId="19" xfId="54" applyNumberFormat="1" applyFont="1" applyFill="1" applyBorder="1" applyAlignment="1">
      <alignment/>
    </xf>
    <xf numFmtId="0" fontId="8" fillId="34" borderId="18" xfId="54" applyNumberFormat="1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8" fillId="34" borderId="18" xfId="54" applyNumberFormat="1" applyFont="1" applyFill="1" applyBorder="1" applyAlignment="1">
      <alignment horizontal="left"/>
    </xf>
    <xf numFmtId="0" fontId="7" fillId="34" borderId="20" xfId="0" applyFont="1" applyFill="1" applyBorder="1" applyAlignment="1">
      <alignment/>
    </xf>
    <xf numFmtId="41" fontId="15" fillId="0" borderId="0" xfId="54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1" fontId="16" fillId="0" borderId="0" xfId="54" applyFont="1" applyBorder="1" applyAlignment="1">
      <alignment/>
    </xf>
    <xf numFmtId="41" fontId="17" fillId="0" borderId="0" xfId="54" applyFont="1" applyAlignment="1">
      <alignment horizontal="left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1" fontId="0" fillId="0" borderId="22" xfId="54" applyFont="1" applyBorder="1" applyAlignment="1">
      <alignment vertical="center"/>
    </xf>
    <xf numFmtId="41" fontId="0" fillId="0" borderId="21" xfId="54" applyFont="1" applyBorder="1" applyAlignment="1">
      <alignment vertical="center"/>
    </xf>
    <xf numFmtId="41" fontId="0" fillId="0" borderId="25" xfId="54" applyBorder="1" applyAlignment="1">
      <alignment horizontal="center" vertical="center"/>
    </xf>
    <xf numFmtId="41" fontId="0" fillId="0" borderId="26" xfId="54" applyBorder="1" applyAlignment="1">
      <alignment horizontal="center" vertical="center"/>
    </xf>
    <xf numFmtId="41" fontId="0" fillId="0" borderId="27" xfId="54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1" fontId="0" fillId="0" borderId="2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1" fontId="21" fillId="0" borderId="22" xfId="54" applyFont="1" applyBorder="1" applyAlignment="1">
      <alignment vertical="center"/>
    </xf>
    <xf numFmtId="9" fontId="0" fillId="0" borderId="22" xfId="54" applyNumberFormat="1" applyBorder="1" applyAlignment="1">
      <alignment vertical="center"/>
    </xf>
    <xf numFmtId="41" fontId="0" fillId="0" borderId="22" xfId="54" applyBorder="1" applyAlignment="1">
      <alignment vertical="center"/>
    </xf>
    <xf numFmtId="182" fontId="0" fillId="0" borderId="22" xfId="54" applyNumberFormat="1" applyFont="1" applyBorder="1" applyAlignment="1">
      <alignment vertical="center"/>
    </xf>
    <xf numFmtId="41" fontId="23" fillId="0" borderId="22" xfId="54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29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1" fontId="0" fillId="0" borderId="32" xfId="54" applyBorder="1" applyAlignment="1">
      <alignment vertical="center"/>
    </xf>
    <xf numFmtId="0" fontId="0" fillId="35" borderId="2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2" xfId="0" applyFill="1" applyBorder="1" applyAlignment="1">
      <alignment vertical="center"/>
    </xf>
    <xf numFmtId="0" fontId="9" fillId="35" borderId="25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1" fontId="0" fillId="0" borderId="32" xfId="0" applyNumberFormat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41" fontId="0" fillId="0" borderId="37" xfId="54" applyFont="1" applyBorder="1" applyAlignment="1">
      <alignment vertical="center"/>
    </xf>
    <xf numFmtId="41" fontId="0" fillId="0" borderId="39" xfId="54" applyFont="1" applyBorder="1" applyAlignment="1">
      <alignment vertical="center"/>
    </xf>
    <xf numFmtId="0" fontId="0" fillId="35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41" fontId="0" fillId="0" borderId="44" xfId="54" applyBorder="1" applyAlignment="1">
      <alignment horizontal="center" vertical="center"/>
    </xf>
    <xf numFmtId="41" fontId="0" fillId="0" borderId="45" xfId="54" applyBorder="1" applyAlignment="1">
      <alignment horizontal="center" vertical="center"/>
    </xf>
    <xf numFmtId="41" fontId="0" fillId="0" borderId="46" xfId="54" applyBorder="1" applyAlignment="1">
      <alignment horizontal="center" vertical="center"/>
    </xf>
    <xf numFmtId="41" fontId="8" fillId="36" borderId="47" xfId="54" applyFont="1" applyFill="1" applyBorder="1" applyAlignment="1">
      <alignment horizontal="center"/>
    </xf>
    <xf numFmtId="41" fontId="8" fillId="36" borderId="15" xfId="54" applyFont="1" applyFill="1" applyBorder="1" applyAlignment="1">
      <alignment horizontal="center"/>
    </xf>
    <xf numFmtId="41" fontId="8" fillId="36" borderId="16" xfId="54" applyFont="1" applyFill="1" applyBorder="1" applyAlignment="1">
      <alignment horizontal="center"/>
    </xf>
    <xf numFmtId="41" fontId="8" fillId="37" borderId="47" xfId="54" applyFont="1" applyFill="1" applyBorder="1" applyAlignment="1">
      <alignment horizontal="center"/>
    </xf>
    <xf numFmtId="41" fontId="8" fillId="37" borderId="15" xfId="54" applyFont="1" applyFill="1" applyBorder="1" applyAlignment="1">
      <alignment horizontal="center"/>
    </xf>
    <xf numFmtId="41" fontId="8" fillId="37" borderId="16" xfId="54" applyFont="1" applyFill="1" applyBorder="1" applyAlignment="1">
      <alignment horizontal="center"/>
    </xf>
    <xf numFmtId="0" fontId="0" fillId="35" borderId="25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41" fontId="0" fillId="0" borderId="25" xfId="54" applyBorder="1" applyAlignment="1">
      <alignment horizontal="center" vertical="center"/>
    </xf>
    <xf numFmtId="41" fontId="0" fillId="0" borderId="27" xfId="54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41" fontId="0" fillId="0" borderId="32" xfId="54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25" fillId="0" borderId="25" xfId="54" applyFont="1" applyBorder="1" applyAlignment="1">
      <alignment horizontal="center" vertical="center"/>
    </xf>
    <xf numFmtId="41" fontId="25" fillId="0" borderId="27" xfId="54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41" fontId="25" fillId="0" borderId="52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41" fontId="0" fillId="0" borderId="22" xfId="54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41" fontId="20" fillId="0" borderId="32" xfId="54" applyFont="1" applyBorder="1" applyAlignment="1">
      <alignment horizontal="center" vertical="center"/>
    </xf>
    <xf numFmtId="41" fontId="20" fillId="0" borderId="34" xfId="54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5" fillId="0" borderId="22" xfId="54" applyNumberFormat="1" applyFont="1" applyBorder="1" applyAlignment="1">
      <alignment horizontal="center" vertical="center"/>
    </xf>
    <xf numFmtId="41" fontId="25" fillId="0" borderId="22" xfId="54" applyFont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1" fontId="25" fillId="0" borderId="54" xfId="54" applyFont="1" applyBorder="1" applyAlignment="1">
      <alignment horizontal="center" vertical="center"/>
    </xf>
    <xf numFmtId="41" fontId="25" fillId="0" borderId="21" xfId="54" applyFont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41" fontId="25" fillId="0" borderId="55" xfId="54" applyFont="1" applyBorder="1" applyAlignment="1">
      <alignment horizontal="center" vertical="center"/>
    </xf>
    <xf numFmtId="41" fontId="25" fillId="0" borderId="0" xfId="54" applyFont="1" applyBorder="1" applyAlignment="1">
      <alignment horizontal="center" vertical="center"/>
    </xf>
    <xf numFmtId="41" fontId="25" fillId="0" borderId="56" xfId="54" applyFont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41" fontId="25" fillId="0" borderId="38" xfId="54" applyFont="1" applyBorder="1" applyAlignment="1">
      <alignment horizontal="center" vertical="center"/>
    </xf>
    <xf numFmtId="41" fontId="25" fillId="0" borderId="58" xfId="54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Comma" xfId="53"/>
    <cellStyle name="Comma [0]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1" xfId="66"/>
    <cellStyle name="콤마_1" xfId="67"/>
    <cellStyle name="Currency" xfId="68"/>
    <cellStyle name="Currency [0]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43">
      <selection activeCell="B35" sqref="B35"/>
    </sheetView>
  </sheetViews>
  <sheetFormatPr defaultColWidth="8.88671875" defaultRowHeight="13.5"/>
  <cols>
    <col min="1" max="1" width="3.5546875" style="4" customWidth="1"/>
    <col min="2" max="2" width="18.5546875" style="4" bestFit="1" customWidth="1"/>
    <col min="3" max="3" width="5.10546875" style="4" bestFit="1" customWidth="1"/>
    <col min="4" max="4" width="3.3359375" style="5" bestFit="1" customWidth="1"/>
    <col min="5" max="5" width="11.4453125" style="5" bestFit="1" customWidth="1"/>
    <col min="6" max="7" width="12.21484375" style="5" hidden="1" customWidth="1"/>
    <col min="8" max="8" width="11.21484375" style="5" hidden="1" customWidth="1"/>
    <col min="9" max="9" width="9.21484375" style="6" hidden="1" customWidth="1"/>
    <col min="10" max="10" width="1.2265625" style="7" customWidth="1"/>
    <col min="11" max="11" width="18.5546875" style="7" bestFit="1" customWidth="1"/>
    <col min="12" max="12" width="5.10546875" style="7" bestFit="1" customWidth="1"/>
    <col min="13" max="13" width="3.3359375" style="7" bestFit="1" customWidth="1"/>
    <col min="14" max="14" width="11.4453125" style="7" bestFit="1" customWidth="1"/>
    <col min="15" max="15" width="0" style="7" hidden="1" customWidth="1"/>
    <col min="16" max="16" width="11.21484375" style="7" hidden="1" customWidth="1"/>
    <col min="17" max="17" width="11.21484375" style="11" hidden="1" customWidth="1"/>
    <col min="18" max="18" width="8.21484375" style="16" hidden="1" customWidth="1"/>
    <col min="19" max="19" width="11.21484375" style="11" hidden="1" customWidth="1"/>
    <col min="20" max="20" width="8.88671875" style="11" customWidth="1"/>
    <col min="21" max="16384" width="8.88671875" style="7" customWidth="1"/>
  </cols>
  <sheetData>
    <row r="1" spans="1:20" s="2" customFormat="1" ht="24.75">
      <c r="A1" s="8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4"/>
      <c r="R1" s="14"/>
      <c r="S1" s="15"/>
      <c r="T1" s="15"/>
    </row>
    <row r="3" ht="14.25">
      <c r="A3" s="3" t="s">
        <v>39</v>
      </c>
    </row>
    <row r="4" ht="14.25">
      <c r="A4" s="4" t="s">
        <v>32</v>
      </c>
    </row>
    <row r="5" ht="14.25">
      <c r="A5" s="4" t="s">
        <v>33</v>
      </c>
    </row>
    <row r="6" ht="14.25">
      <c r="A6" s="4" t="s">
        <v>34</v>
      </c>
    </row>
    <row r="8" ht="14.25">
      <c r="A8" s="3" t="s">
        <v>45</v>
      </c>
    </row>
    <row r="9" ht="14.25">
      <c r="A9" s="4" t="s">
        <v>40</v>
      </c>
    </row>
    <row r="10" ht="14.25">
      <c r="A10" s="4" t="s">
        <v>41</v>
      </c>
    </row>
    <row r="11" spans="1:20" s="82" customFormat="1" ht="14.25">
      <c r="A11" s="79" t="s">
        <v>42</v>
      </c>
      <c r="B11" s="79"/>
      <c r="C11" s="79"/>
      <c r="D11" s="80"/>
      <c r="E11" s="80"/>
      <c r="F11" s="80"/>
      <c r="G11" s="80"/>
      <c r="H11" s="80"/>
      <c r="I11" s="81"/>
      <c r="Q11" s="83"/>
      <c r="R11" s="84"/>
      <c r="S11" s="83"/>
      <c r="T11" s="83"/>
    </row>
    <row r="12" spans="1:20" s="82" customFormat="1" ht="14.25">
      <c r="A12" s="79" t="s">
        <v>24</v>
      </c>
      <c r="B12" s="79"/>
      <c r="C12" s="79"/>
      <c r="D12" s="80"/>
      <c r="E12" s="80"/>
      <c r="F12" s="80"/>
      <c r="G12" s="80"/>
      <c r="H12" s="80"/>
      <c r="I12" s="81"/>
      <c r="Q12" s="83"/>
      <c r="R12" s="84"/>
      <c r="S12" s="83"/>
      <c r="T12" s="83"/>
    </row>
    <row r="13" spans="1:20" s="82" customFormat="1" ht="14.25">
      <c r="A13" s="79" t="s">
        <v>25</v>
      </c>
      <c r="B13" s="79"/>
      <c r="C13" s="79"/>
      <c r="D13" s="80"/>
      <c r="E13" s="80"/>
      <c r="F13" s="80"/>
      <c r="G13" s="80"/>
      <c r="H13" s="80"/>
      <c r="I13" s="81"/>
      <c r="Q13" s="83"/>
      <c r="R13" s="84"/>
      <c r="S13" s="83"/>
      <c r="T13" s="83"/>
    </row>
    <row r="14" spans="1:20" s="82" customFormat="1" ht="14.25">
      <c r="A14" s="79" t="s">
        <v>27</v>
      </c>
      <c r="B14" s="79"/>
      <c r="C14" s="79"/>
      <c r="D14" s="80"/>
      <c r="E14" s="80"/>
      <c r="F14" s="80"/>
      <c r="G14" s="80"/>
      <c r="H14" s="80"/>
      <c r="I14" s="81"/>
      <c r="Q14" s="83"/>
      <c r="R14" s="84"/>
      <c r="S14" s="83"/>
      <c r="T14" s="83"/>
    </row>
    <row r="15" spans="1:20" s="82" customFormat="1" ht="14.25">
      <c r="A15" s="79" t="s">
        <v>28</v>
      </c>
      <c r="B15" s="79"/>
      <c r="C15" s="79"/>
      <c r="D15" s="80"/>
      <c r="E15" s="80"/>
      <c r="F15" s="80"/>
      <c r="G15" s="80"/>
      <c r="H15" s="80"/>
      <c r="I15" s="81"/>
      <c r="Q15" s="83"/>
      <c r="R15" s="84"/>
      <c r="S15" s="83"/>
      <c r="T15" s="83"/>
    </row>
    <row r="16" spans="1:20" s="82" customFormat="1" ht="14.25">
      <c r="A16" s="79" t="s">
        <v>29</v>
      </c>
      <c r="B16" s="79"/>
      <c r="C16" s="79"/>
      <c r="D16" s="80"/>
      <c r="E16" s="80"/>
      <c r="F16" s="80"/>
      <c r="G16" s="80"/>
      <c r="H16" s="80"/>
      <c r="I16" s="81"/>
      <c r="Q16" s="83"/>
      <c r="R16" s="84"/>
      <c r="S16" s="83"/>
      <c r="T16" s="83"/>
    </row>
    <row r="17" spans="1:20" s="82" customFormat="1" ht="14.25">
      <c r="A17" s="79" t="s">
        <v>30</v>
      </c>
      <c r="B17" s="79"/>
      <c r="C17" s="79"/>
      <c r="D17" s="80"/>
      <c r="E17" s="80"/>
      <c r="F17" s="80"/>
      <c r="G17" s="80"/>
      <c r="H17" s="80"/>
      <c r="I17" s="81"/>
      <c r="Q17" s="83"/>
      <c r="R17" s="84"/>
      <c r="S17" s="83"/>
      <c r="T17" s="83"/>
    </row>
    <row r="18" spans="1:20" s="82" customFormat="1" ht="14.25">
      <c r="A18" s="79" t="s">
        <v>37</v>
      </c>
      <c r="B18" s="79"/>
      <c r="C18" s="79"/>
      <c r="D18" s="80"/>
      <c r="E18" s="80"/>
      <c r="F18" s="80"/>
      <c r="G18" s="80"/>
      <c r="H18" s="80"/>
      <c r="I18" s="81"/>
      <c r="Q18" s="83"/>
      <c r="R18" s="84"/>
      <c r="S18" s="83"/>
      <c r="T18" s="83"/>
    </row>
    <row r="19" spans="1:20" s="82" customFormat="1" ht="14.25">
      <c r="A19" s="79" t="s">
        <v>38</v>
      </c>
      <c r="B19" s="79"/>
      <c r="C19" s="79"/>
      <c r="D19" s="80"/>
      <c r="E19" s="80"/>
      <c r="F19" s="80"/>
      <c r="G19" s="80"/>
      <c r="H19" s="80"/>
      <c r="I19" s="81"/>
      <c r="Q19" s="83"/>
      <c r="R19" s="84"/>
      <c r="S19" s="83"/>
      <c r="T19" s="83"/>
    </row>
    <row r="20" ht="14.25">
      <c r="A20" s="4" t="s">
        <v>26</v>
      </c>
    </row>
    <row r="21" ht="14.25">
      <c r="A21" s="4" t="s">
        <v>31</v>
      </c>
    </row>
    <row r="22" ht="14.25">
      <c r="A22" s="4" t="s">
        <v>44</v>
      </c>
    </row>
    <row r="23" spans="1:19" ht="15" thickBot="1">
      <c r="A23" s="7"/>
      <c r="D23" s="4"/>
      <c r="I23" s="5"/>
      <c r="J23" s="6"/>
      <c r="R23" s="11"/>
      <c r="S23" s="16"/>
    </row>
    <row r="24" spans="1:19" ht="15" thickBot="1">
      <c r="A24" s="7"/>
      <c r="B24" s="156" t="s">
        <v>46</v>
      </c>
      <c r="C24" s="157"/>
      <c r="D24" s="157"/>
      <c r="E24" s="158"/>
      <c r="G24" s="5">
        <f>(C26*365)+(D26*30.416)+E26</f>
        <v>730426.416</v>
      </c>
      <c r="H24" s="5">
        <f>(C25*365)+(D25*30.416)+E25</f>
        <v>725732.248</v>
      </c>
      <c r="I24" s="5">
        <f>G24-H24</f>
        <v>4694.167999999947</v>
      </c>
      <c r="J24" s="6"/>
      <c r="K24" s="159" t="s">
        <v>47</v>
      </c>
      <c r="L24" s="160"/>
      <c r="M24" s="160"/>
      <c r="N24" s="161"/>
      <c r="O24" s="5"/>
      <c r="P24" s="5">
        <f>(L26*365)+(M26*30.416)+N26</f>
        <v>730426.416</v>
      </c>
      <c r="Q24" s="6">
        <f>(L25*365)+(M25*30.416)+N25</f>
        <v>729987.576</v>
      </c>
      <c r="R24" s="6">
        <f>P24-Q24</f>
        <v>438.8399999999674</v>
      </c>
      <c r="S24" s="8"/>
    </row>
    <row r="25" spans="1:19" ht="14.25">
      <c r="A25" s="7"/>
      <c r="B25" s="63" t="s">
        <v>0</v>
      </c>
      <c r="C25" s="18">
        <v>1988</v>
      </c>
      <c r="D25" s="18">
        <v>3</v>
      </c>
      <c r="E25" s="19">
        <v>21</v>
      </c>
      <c r="F25" s="9"/>
      <c r="G25" s="9"/>
      <c r="H25" s="9"/>
      <c r="I25" s="9"/>
      <c r="J25" s="10"/>
      <c r="K25" s="67" t="s">
        <v>0</v>
      </c>
      <c r="L25" s="33">
        <v>1999</v>
      </c>
      <c r="M25" s="33">
        <v>11</v>
      </c>
      <c r="N25" s="34">
        <v>18</v>
      </c>
      <c r="O25" s="5"/>
      <c r="P25" s="5"/>
      <c r="Q25" s="6"/>
      <c r="R25" s="6"/>
      <c r="S25" s="8"/>
    </row>
    <row r="26" spans="1:19" ht="15" thickBot="1">
      <c r="A26" s="7"/>
      <c r="B26" s="64" t="s">
        <v>1</v>
      </c>
      <c r="C26" s="20">
        <v>2001</v>
      </c>
      <c r="D26" s="20">
        <v>1</v>
      </c>
      <c r="E26" s="21">
        <v>31</v>
      </c>
      <c r="F26" s="9"/>
      <c r="G26" s="9"/>
      <c r="H26" s="9"/>
      <c r="I26" s="9"/>
      <c r="J26" s="10"/>
      <c r="K26" s="68" t="s">
        <v>1</v>
      </c>
      <c r="L26" s="35">
        <v>2001</v>
      </c>
      <c r="M26" s="35">
        <v>1</v>
      </c>
      <c r="N26" s="36">
        <v>31</v>
      </c>
      <c r="O26" s="5"/>
      <c r="P26" s="5"/>
      <c r="Q26" s="6"/>
      <c r="R26" s="6"/>
      <c r="S26" s="8"/>
    </row>
    <row r="27" spans="1:19" ht="14.25">
      <c r="A27" s="7"/>
      <c r="B27" s="63" t="s">
        <v>2</v>
      </c>
      <c r="C27" s="22"/>
      <c r="D27" s="22"/>
      <c r="E27" s="23">
        <f>INT(I24)</f>
        <v>4694</v>
      </c>
      <c r="F27" s="9"/>
      <c r="G27" s="9"/>
      <c r="H27" s="9"/>
      <c r="I27" s="9"/>
      <c r="J27" s="10"/>
      <c r="K27" s="67" t="s">
        <v>2</v>
      </c>
      <c r="L27" s="37"/>
      <c r="M27" s="37"/>
      <c r="N27" s="38">
        <f>INT(R24)</f>
        <v>438</v>
      </c>
      <c r="O27" s="5"/>
      <c r="P27" s="5"/>
      <c r="Q27" s="6"/>
      <c r="R27" s="6"/>
      <c r="S27" s="17">
        <f>N27+E30</f>
        <v>5132</v>
      </c>
    </row>
    <row r="28" spans="1:19" ht="14.25">
      <c r="A28" s="7"/>
      <c r="B28" s="65" t="s">
        <v>3</v>
      </c>
      <c r="C28" s="24"/>
      <c r="D28" s="24"/>
      <c r="E28" s="25">
        <f>INT(E27/30.4167+0.99)</f>
        <v>155</v>
      </c>
      <c r="F28" s="9"/>
      <c r="G28" s="9"/>
      <c r="H28" s="9"/>
      <c r="I28" s="9"/>
      <c r="J28" s="10"/>
      <c r="K28" s="69" t="s">
        <v>3</v>
      </c>
      <c r="L28" s="39"/>
      <c r="M28" s="39"/>
      <c r="N28" s="40">
        <f>INT(N27/30.4167+0.99)</f>
        <v>15</v>
      </c>
      <c r="O28" s="5"/>
      <c r="P28" s="5"/>
      <c r="Q28" s="6"/>
      <c r="R28" s="6"/>
      <c r="S28" s="17">
        <f>INT(S27/30.4167+0.99)</f>
        <v>169</v>
      </c>
    </row>
    <row r="29" spans="1:19" ht="15" thickBot="1">
      <c r="A29" s="7"/>
      <c r="B29" s="64" t="s">
        <v>4</v>
      </c>
      <c r="C29" s="26"/>
      <c r="D29" s="26"/>
      <c r="E29" s="27">
        <f>INT((E27+364)/365)</f>
        <v>13</v>
      </c>
      <c r="F29" s="9"/>
      <c r="G29" s="9"/>
      <c r="H29" s="9"/>
      <c r="I29" s="9"/>
      <c r="J29" s="10"/>
      <c r="K29" s="68" t="s">
        <v>4</v>
      </c>
      <c r="L29" s="41"/>
      <c r="M29" s="41"/>
      <c r="N29" s="42">
        <f>INT((N27+364)/365)</f>
        <v>2</v>
      </c>
      <c r="O29" s="5"/>
      <c r="P29" s="5"/>
      <c r="Q29" s="6"/>
      <c r="R29" s="6"/>
      <c r="S29" s="17">
        <f>INT((S27+364)/365)</f>
        <v>15</v>
      </c>
    </row>
    <row r="30" spans="1:19" ht="14.25">
      <c r="A30" s="7"/>
      <c r="B30" s="63" t="s">
        <v>5</v>
      </c>
      <c r="C30" s="22"/>
      <c r="D30" s="22"/>
      <c r="E30" s="23">
        <f>E27</f>
        <v>4694</v>
      </c>
      <c r="F30" s="9"/>
      <c r="G30" s="9"/>
      <c r="H30" s="9"/>
      <c r="I30" s="9"/>
      <c r="J30" s="10"/>
      <c r="K30" s="67" t="s">
        <v>5</v>
      </c>
      <c r="L30" s="37"/>
      <c r="M30" s="37"/>
      <c r="N30" s="43">
        <f>N27</f>
        <v>438</v>
      </c>
      <c r="O30" s="5"/>
      <c r="P30" s="5"/>
      <c r="Q30" s="6"/>
      <c r="R30" s="6"/>
      <c r="S30" s="8"/>
    </row>
    <row r="31" spans="1:19" ht="14.25">
      <c r="A31" s="7"/>
      <c r="B31" s="65" t="s">
        <v>6</v>
      </c>
      <c r="C31" s="24"/>
      <c r="D31" s="24"/>
      <c r="E31" s="28">
        <v>6</v>
      </c>
      <c r="F31" s="9"/>
      <c r="G31" s="9"/>
      <c r="H31" s="9"/>
      <c r="I31" s="9"/>
      <c r="J31" s="10"/>
      <c r="K31" s="69" t="s">
        <v>6</v>
      </c>
      <c r="L31" s="39"/>
      <c r="M31" s="39"/>
      <c r="N31" s="44">
        <v>3</v>
      </c>
      <c r="O31" s="5"/>
      <c r="P31" s="5"/>
      <c r="Q31" s="6"/>
      <c r="R31" s="6"/>
      <c r="S31" s="8"/>
    </row>
    <row r="32" spans="1:19" ht="15" thickBot="1">
      <c r="A32" s="7"/>
      <c r="B32" s="64" t="s">
        <v>7</v>
      </c>
      <c r="C32" s="26"/>
      <c r="D32" s="26"/>
      <c r="E32" s="27">
        <f>E31+E30</f>
        <v>4700</v>
      </c>
      <c r="F32" s="9"/>
      <c r="G32" s="9"/>
      <c r="H32" s="9"/>
      <c r="I32" s="9"/>
      <c r="J32" s="10"/>
      <c r="K32" s="68" t="s">
        <v>7</v>
      </c>
      <c r="L32" s="41"/>
      <c r="M32" s="41"/>
      <c r="N32" s="45">
        <f>N31+N30</f>
        <v>441</v>
      </c>
      <c r="O32" s="5"/>
      <c r="P32" s="5"/>
      <c r="Q32" s="6"/>
      <c r="R32" s="6"/>
      <c r="S32" s="8"/>
    </row>
    <row r="33" spans="1:19" ht="15" thickBot="1">
      <c r="A33" s="7"/>
      <c r="B33" s="66" t="s">
        <v>8</v>
      </c>
      <c r="C33" s="29"/>
      <c r="D33" s="29"/>
      <c r="E33" s="30">
        <v>2207553</v>
      </c>
      <c r="F33" s="9"/>
      <c r="G33" s="9">
        <f>(E33*E32)/365</f>
        <v>28426024.93150685</v>
      </c>
      <c r="H33" s="9"/>
      <c r="I33" s="9"/>
      <c r="J33" s="10"/>
      <c r="K33" s="70" t="s">
        <v>8</v>
      </c>
      <c r="L33" s="46"/>
      <c r="M33" s="46"/>
      <c r="N33" s="47">
        <f>E33</f>
        <v>2207553</v>
      </c>
      <c r="O33" s="5"/>
      <c r="P33" s="5">
        <f>(N33*N32)/365</f>
        <v>2667207.8712328766</v>
      </c>
      <c r="Q33" s="6"/>
      <c r="R33" s="6"/>
      <c r="S33" s="8"/>
    </row>
    <row r="34" spans="1:19" ht="15" thickBot="1">
      <c r="A34" s="7"/>
      <c r="B34" s="63" t="s">
        <v>9</v>
      </c>
      <c r="C34" s="22"/>
      <c r="D34" s="22"/>
      <c r="E34" s="23">
        <f>E33*E32/365</f>
        <v>28426024.93150685</v>
      </c>
      <c r="F34" s="9"/>
      <c r="G34" s="9"/>
      <c r="H34" s="9"/>
      <c r="I34" s="9"/>
      <c r="J34" s="10"/>
      <c r="K34" s="67" t="s">
        <v>9</v>
      </c>
      <c r="L34" s="37"/>
      <c r="M34" s="37"/>
      <c r="N34" s="43">
        <f>N33*N32/365</f>
        <v>2667207.8712328766</v>
      </c>
      <c r="O34" s="5"/>
      <c r="P34" s="5"/>
      <c r="Q34" s="6"/>
      <c r="R34" s="6"/>
      <c r="S34" s="8">
        <f>N34+E34</f>
        <v>31093232.802739725</v>
      </c>
    </row>
    <row r="35" spans="1:19" ht="14.25">
      <c r="A35" s="7"/>
      <c r="B35" s="63" t="s">
        <v>10</v>
      </c>
      <c r="C35" s="22"/>
      <c r="D35" s="22"/>
      <c r="E35" s="23">
        <f>E34/2</f>
        <v>14213012.465753425</v>
      </c>
      <c r="F35" s="9"/>
      <c r="G35" s="9"/>
      <c r="H35" s="9"/>
      <c r="I35" s="9"/>
      <c r="J35" s="10"/>
      <c r="K35" s="71" t="s">
        <v>10</v>
      </c>
      <c r="L35" s="48"/>
      <c r="M35" s="48"/>
      <c r="N35" s="43">
        <f>S34/2</f>
        <v>15546616.401369862</v>
      </c>
      <c r="O35" s="5"/>
      <c r="P35" s="5"/>
      <c r="Q35" s="6"/>
      <c r="R35" s="6"/>
      <c r="S35" s="16"/>
    </row>
    <row r="36" spans="1:19" ht="14.25">
      <c r="A36" s="7"/>
      <c r="B36" s="65" t="s">
        <v>11</v>
      </c>
      <c r="C36" s="24"/>
      <c r="D36" s="24"/>
      <c r="E36" s="28">
        <f>VLOOKUP(E29,소득공제!$A$1:$B$25,2,FALSE)</f>
        <v>6400000</v>
      </c>
      <c r="F36" s="9"/>
      <c r="G36" s="9"/>
      <c r="H36" s="9"/>
      <c r="I36" s="9"/>
      <c r="J36" s="10"/>
      <c r="K36" s="72" t="s">
        <v>11</v>
      </c>
      <c r="L36" s="49"/>
      <c r="M36" s="49"/>
      <c r="N36" s="44">
        <f>VLOOKUP(S29,소득공제!$A$1:$B$25,2,FALSE)</f>
        <v>8000000</v>
      </c>
      <c r="O36" s="5"/>
      <c r="P36" s="5"/>
      <c r="Q36" s="6"/>
      <c r="R36" s="6"/>
      <c r="S36" s="16"/>
    </row>
    <row r="37" spans="1:19" ht="15" thickBot="1">
      <c r="A37" s="7"/>
      <c r="B37" s="64" t="s">
        <v>12</v>
      </c>
      <c r="C37" s="26"/>
      <c r="D37" s="26"/>
      <c r="E37" s="27">
        <f>E35+E36</f>
        <v>20613012.465753425</v>
      </c>
      <c r="F37" s="9"/>
      <c r="G37" s="9"/>
      <c r="H37" s="9"/>
      <c r="I37" s="9"/>
      <c r="J37" s="10"/>
      <c r="K37" s="73" t="s">
        <v>12</v>
      </c>
      <c r="L37" s="50"/>
      <c r="M37" s="50"/>
      <c r="N37" s="44">
        <f>N35+N36</f>
        <v>23546616.401369862</v>
      </c>
      <c r="O37" s="5"/>
      <c r="P37" s="5"/>
      <c r="Q37" s="6"/>
      <c r="R37" s="6"/>
      <c r="S37" s="16"/>
    </row>
    <row r="38" spans="1:19" ht="14.25">
      <c r="A38" s="7"/>
      <c r="B38" s="63" t="s">
        <v>13</v>
      </c>
      <c r="C38" s="22"/>
      <c r="D38" s="22"/>
      <c r="E38" s="23">
        <f>E34-E37</f>
        <v>7813012.465753425</v>
      </c>
      <c r="F38" s="9"/>
      <c r="G38" s="9"/>
      <c r="H38" s="9"/>
      <c r="I38" s="9"/>
      <c r="J38" s="10"/>
      <c r="K38" s="71" t="s">
        <v>13</v>
      </c>
      <c r="L38" s="48"/>
      <c r="M38" s="48"/>
      <c r="N38" s="43">
        <f>S34-N37</f>
        <v>7546616.401369862</v>
      </c>
      <c r="O38" s="5"/>
      <c r="P38" s="5"/>
      <c r="Q38" s="6"/>
      <c r="R38" s="6"/>
      <c r="S38" s="16"/>
    </row>
    <row r="39" spans="1:19" ht="14.25">
      <c r="A39" s="7"/>
      <c r="B39" s="65" t="s">
        <v>14</v>
      </c>
      <c r="C39" s="24"/>
      <c r="D39" s="24"/>
      <c r="E39" s="28">
        <f>INT(E38/E29)</f>
        <v>601000</v>
      </c>
      <c r="F39" s="9"/>
      <c r="G39" s="9"/>
      <c r="H39" s="9"/>
      <c r="I39" s="9"/>
      <c r="J39" s="10"/>
      <c r="K39" s="72" t="s">
        <v>14</v>
      </c>
      <c r="L39" s="49"/>
      <c r="M39" s="49"/>
      <c r="N39" s="44">
        <f>INT(N38/S29)</f>
        <v>503107</v>
      </c>
      <c r="O39" s="5"/>
      <c r="P39" s="5"/>
      <c r="Q39" s="6"/>
      <c r="R39" s="6"/>
      <c r="S39" s="16"/>
    </row>
    <row r="40" spans="1:19" ht="14.25">
      <c r="A40" s="7"/>
      <c r="B40" s="65" t="s">
        <v>15</v>
      </c>
      <c r="C40" s="24"/>
      <c r="D40" s="24"/>
      <c r="E40" s="31">
        <v>0.1</v>
      </c>
      <c r="F40" s="9"/>
      <c r="G40" s="9"/>
      <c r="H40" s="9"/>
      <c r="I40" s="9"/>
      <c r="J40" s="10"/>
      <c r="K40" s="72" t="s">
        <v>15</v>
      </c>
      <c r="L40" s="49"/>
      <c r="M40" s="49"/>
      <c r="N40" s="51">
        <v>0.1</v>
      </c>
      <c r="O40" s="5"/>
      <c r="P40" s="5"/>
      <c r="Q40" s="6"/>
      <c r="R40" s="6"/>
      <c r="S40" s="16"/>
    </row>
    <row r="41" spans="1:19" ht="14.25">
      <c r="A41" s="7"/>
      <c r="B41" s="65" t="s">
        <v>16</v>
      </c>
      <c r="C41" s="24"/>
      <c r="D41" s="24"/>
      <c r="E41" s="28">
        <f>INT(E39*0.1)</f>
        <v>60100</v>
      </c>
      <c r="F41" s="9"/>
      <c r="G41" s="9"/>
      <c r="H41" s="9"/>
      <c r="I41" s="9"/>
      <c r="J41" s="10"/>
      <c r="K41" s="72" t="s">
        <v>16</v>
      </c>
      <c r="L41" s="49"/>
      <c r="M41" s="49"/>
      <c r="N41" s="44">
        <f>INT(N39*N40)</f>
        <v>50310</v>
      </c>
      <c r="O41" s="5"/>
      <c r="P41" s="5"/>
      <c r="Q41" s="6"/>
      <c r="R41" s="6"/>
      <c r="S41" s="16"/>
    </row>
    <row r="42" spans="1:19" ht="14.25">
      <c r="A42" s="7"/>
      <c r="B42" s="65" t="s">
        <v>17</v>
      </c>
      <c r="C42" s="24"/>
      <c r="D42" s="24"/>
      <c r="E42" s="28">
        <f>E41*E29</f>
        <v>781300</v>
      </c>
      <c r="F42" s="9"/>
      <c r="G42" s="9"/>
      <c r="H42" s="9"/>
      <c r="I42" s="9"/>
      <c r="J42" s="10"/>
      <c r="K42" s="72" t="s">
        <v>17</v>
      </c>
      <c r="L42" s="49"/>
      <c r="M42" s="49"/>
      <c r="N42" s="44">
        <f>N41*S29</f>
        <v>754650</v>
      </c>
      <c r="O42" s="5"/>
      <c r="P42" s="5"/>
      <c r="Q42" s="6"/>
      <c r="R42" s="6"/>
      <c r="S42" s="16"/>
    </row>
    <row r="43" spans="1:19" ht="15" thickBot="1">
      <c r="A43" s="7"/>
      <c r="B43" s="64" t="s">
        <v>18</v>
      </c>
      <c r="C43" s="26"/>
      <c r="D43" s="26"/>
      <c r="E43" s="32">
        <f>IF(E42/2&lt;240000*E29,INT(E42/2),INT(240000*E29))</f>
        <v>390650</v>
      </c>
      <c r="F43" s="9"/>
      <c r="G43" s="9"/>
      <c r="H43" s="9"/>
      <c r="I43" s="9"/>
      <c r="J43" s="10"/>
      <c r="K43" s="73" t="s">
        <v>18</v>
      </c>
      <c r="L43" s="50"/>
      <c r="M43" s="50"/>
      <c r="N43" s="52">
        <f>IF(N42/2&lt;240000*S29,INT(N42/2),INT(240000*S29))</f>
        <v>377325</v>
      </c>
      <c r="O43" s="5"/>
      <c r="P43" s="5"/>
      <c r="Q43" s="6"/>
      <c r="R43" s="6"/>
      <c r="S43" s="16"/>
    </row>
    <row r="44" spans="1:19" ht="14.25">
      <c r="A44" s="7"/>
      <c r="B44" s="63" t="s">
        <v>19</v>
      </c>
      <c r="C44" s="22"/>
      <c r="D44" s="22"/>
      <c r="E44" s="23">
        <f>INT((E42-E43)*0.1)*10</f>
        <v>390650</v>
      </c>
      <c r="F44" s="9"/>
      <c r="G44" s="9"/>
      <c r="H44" s="9"/>
      <c r="I44" s="9"/>
      <c r="J44" s="10"/>
      <c r="K44" s="71" t="s">
        <v>48</v>
      </c>
      <c r="L44" s="48"/>
      <c r="M44" s="48"/>
      <c r="N44" s="38">
        <f>INT((N42-N43)*0.1)*10</f>
        <v>377320</v>
      </c>
      <c r="O44" s="5"/>
      <c r="P44" s="5"/>
      <c r="Q44" s="6"/>
      <c r="R44" s="6"/>
      <c r="S44" s="16"/>
    </row>
    <row r="45" spans="1:19" ht="14.25">
      <c r="A45" s="7"/>
      <c r="B45" s="65" t="s">
        <v>20</v>
      </c>
      <c r="C45" s="24"/>
      <c r="D45" s="24"/>
      <c r="E45" s="28">
        <f>INT(E44*0.01)*10</f>
        <v>39060</v>
      </c>
      <c r="F45" s="9"/>
      <c r="G45" s="9"/>
      <c r="H45" s="9"/>
      <c r="I45" s="9"/>
      <c r="J45" s="10"/>
      <c r="K45" s="72" t="s">
        <v>49</v>
      </c>
      <c r="L45" s="49"/>
      <c r="M45" s="49"/>
      <c r="N45" s="53">
        <f>INT(N44*0.01)*10</f>
        <v>37730</v>
      </c>
      <c r="O45" s="5"/>
      <c r="P45" s="5"/>
      <c r="Q45" s="6"/>
      <c r="R45" s="6"/>
      <c r="S45" s="16"/>
    </row>
    <row r="46" spans="1:19" ht="15" thickBot="1">
      <c r="A46" s="7"/>
      <c r="B46" s="64" t="s">
        <v>21</v>
      </c>
      <c r="C46" s="26"/>
      <c r="D46" s="26"/>
      <c r="E46" s="27">
        <f>E44+E45</f>
        <v>429710</v>
      </c>
      <c r="F46" s="9"/>
      <c r="G46" s="9"/>
      <c r="H46" s="9"/>
      <c r="I46" s="9"/>
      <c r="J46" s="10"/>
      <c r="K46" s="73" t="s">
        <v>50</v>
      </c>
      <c r="L46" s="50"/>
      <c r="M46" s="50"/>
      <c r="N46" s="42">
        <f>N44+N45</f>
        <v>415050</v>
      </c>
      <c r="O46" s="5"/>
      <c r="P46" s="5"/>
      <c r="Q46" s="6"/>
      <c r="R46" s="6"/>
      <c r="S46" s="16"/>
    </row>
    <row r="47" spans="1:19" ht="15" thickBot="1">
      <c r="A47" s="7"/>
      <c r="B47" s="64" t="s">
        <v>22</v>
      </c>
      <c r="C47" s="26"/>
      <c r="D47" s="26"/>
      <c r="E47" s="27">
        <v>0</v>
      </c>
      <c r="F47" s="9"/>
      <c r="G47" s="9"/>
      <c r="H47" s="9"/>
      <c r="I47" s="9"/>
      <c r="J47" s="10"/>
      <c r="K47" s="74" t="s">
        <v>51</v>
      </c>
      <c r="L47" s="54"/>
      <c r="M47" s="54"/>
      <c r="N47" s="55">
        <f>N44-E44</f>
        <v>-13330</v>
      </c>
      <c r="O47" s="5"/>
      <c r="P47" s="5"/>
      <c r="Q47" s="6"/>
      <c r="R47" s="6"/>
      <c r="S47" s="16"/>
    </row>
    <row r="48" spans="1:19" ht="15" thickBot="1">
      <c r="A48" s="7"/>
      <c r="B48" s="66" t="s">
        <v>23</v>
      </c>
      <c r="C48" s="29"/>
      <c r="D48" s="29"/>
      <c r="E48" s="30">
        <f>E34-E46-E47</f>
        <v>27996314.93150685</v>
      </c>
      <c r="F48" s="9"/>
      <c r="G48" s="9"/>
      <c r="H48" s="9"/>
      <c r="I48" s="9"/>
      <c r="J48" s="10"/>
      <c r="K48" s="75" t="s">
        <v>35</v>
      </c>
      <c r="L48" s="56"/>
      <c r="M48" s="56"/>
      <c r="N48" s="57">
        <f>N45-E45</f>
        <v>-1330</v>
      </c>
      <c r="O48" s="5"/>
      <c r="P48" s="5"/>
      <c r="Q48" s="6"/>
      <c r="R48" s="6"/>
      <c r="S48" s="16"/>
    </row>
    <row r="49" spans="1:19" ht="15" thickBot="1">
      <c r="A49" s="7"/>
      <c r="D49" s="4"/>
      <c r="E49" s="13"/>
      <c r="I49" s="5"/>
      <c r="J49" s="6"/>
      <c r="K49" s="76" t="s">
        <v>36</v>
      </c>
      <c r="L49" s="58"/>
      <c r="M49" s="58"/>
      <c r="N49" s="59">
        <f>N48+N47</f>
        <v>-14660</v>
      </c>
      <c r="R49" s="11"/>
      <c r="S49" s="16"/>
    </row>
    <row r="50" spans="1:19" ht="15" thickBot="1">
      <c r="A50" s="7"/>
      <c r="D50" s="4"/>
      <c r="I50" s="5"/>
      <c r="J50" s="6"/>
      <c r="K50" s="77" t="s">
        <v>22</v>
      </c>
      <c r="L50" s="56"/>
      <c r="M50" s="56"/>
      <c r="N50" s="60"/>
      <c r="R50" s="11"/>
      <c r="S50" s="16"/>
    </row>
    <row r="51" spans="1:19" ht="15" thickBot="1">
      <c r="A51" s="7"/>
      <c r="D51" s="4"/>
      <c r="I51" s="5"/>
      <c r="J51" s="6"/>
      <c r="K51" s="78" t="s">
        <v>52</v>
      </c>
      <c r="L51" s="61"/>
      <c r="M51" s="61"/>
      <c r="N51" s="62">
        <f>N34-N49</f>
        <v>2681867.8712328766</v>
      </c>
      <c r="R51" s="11"/>
      <c r="S51" s="16"/>
    </row>
    <row r="52" spans="1:19" ht="14.25">
      <c r="A52" s="7"/>
      <c r="D52" s="4"/>
      <c r="I52" s="5"/>
      <c r="J52" s="6"/>
      <c r="R52" s="11"/>
      <c r="S52" s="16"/>
    </row>
    <row r="53" spans="1:19" ht="14.25">
      <c r="A53" s="7"/>
      <c r="D53" s="4"/>
      <c r="I53" s="5"/>
      <c r="J53" s="6"/>
      <c r="R53" s="11"/>
      <c r="S53" s="16"/>
    </row>
  </sheetData>
  <sheetProtection/>
  <mergeCells count="2">
    <mergeCell ref="B24:E24"/>
    <mergeCell ref="K24:N24"/>
  </mergeCells>
  <printOptions horizontalCentered="1" verticalCentered="1"/>
  <pageMargins left="0.11811023622047245" right="0.15748031496062992" top="0.28" bottom="0.54" header="0.2755905511811024" footer="0.275590551181102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32" sqref="B32:B33"/>
    </sheetView>
  </sheetViews>
  <sheetFormatPr defaultColWidth="8.88671875" defaultRowHeight="13.5"/>
  <cols>
    <col min="1" max="1" width="2.99609375" style="0" customWidth="1"/>
    <col min="2" max="2" width="11.88671875" style="1" customWidth="1"/>
  </cols>
  <sheetData>
    <row r="1" spans="1:2" ht="13.5">
      <c r="A1">
        <v>1</v>
      </c>
      <c r="B1" s="1">
        <f>300000*A1</f>
        <v>300000</v>
      </c>
    </row>
    <row r="2" spans="1:2" ht="13.5">
      <c r="A2">
        <v>2</v>
      </c>
      <c r="B2" s="1">
        <f>300000*A2</f>
        <v>600000</v>
      </c>
    </row>
    <row r="3" spans="1:2" ht="13.5">
      <c r="A3">
        <v>3</v>
      </c>
      <c r="B3" s="1">
        <f>300000*A3</f>
        <v>900000</v>
      </c>
    </row>
    <row r="4" spans="1:2" ht="13.5">
      <c r="A4">
        <v>4</v>
      </c>
      <c r="B4" s="1">
        <f>300000*A4</f>
        <v>1200000</v>
      </c>
    </row>
    <row r="5" spans="1:2" ht="13.5">
      <c r="A5">
        <v>5</v>
      </c>
      <c r="B5" s="1">
        <f>300000*A5</f>
        <v>1500000</v>
      </c>
    </row>
    <row r="6" spans="1:2" ht="13.5">
      <c r="A6">
        <v>6</v>
      </c>
      <c r="B6" s="1">
        <f>1500000+500000*(A6-5)</f>
        <v>2000000</v>
      </c>
    </row>
    <row r="7" spans="1:2" ht="13.5">
      <c r="A7">
        <v>7</v>
      </c>
      <c r="B7" s="1">
        <f>1500000+500000*(A7-5)</f>
        <v>2500000</v>
      </c>
    </row>
    <row r="8" spans="1:2" ht="13.5">
      <c r="A8">
        <v>8</v>
      </c>
      <c r="B8" s="1">
        <f>1500000+500000*(A8-5)</f>
        <v>3000000</v>
      </c>
    </row>
    <row r="9" spans="1:2" ht="13.5">
      <c r="A9">
        <v>9</v>
      </c>
      <c r="B9" s="1">
        <f>1500000+500000*(A9-5)</f>
        <v>3500000</v>
      </c>
    </row>
    <row r="10" spans="1:2" ht="13.5">
      <c r="A10">
        <v>10</v>
      </c>
      <c r="B10" s="1">
        <f>1500000+500000*(A10-5)</f>
        <v>4000000</v>
      </c>
    </row>
    <row r="11" spans="1:2" ht="13.5">
      <c r="A11">
        <v>11</v>
      </c>
      <c r="B11" s="1">
        <f>4000000+800000*(A11-10)</f>
        <v>4800000</v>
      </c>
    </row>
    <row r="12" spans="1:2" ht="13.5">
      <c r="A12">
        <v>12</v>
      </c>
      <c r="B12" s="1">
        <f aca="true" t="shared" si="0" ref="B12:B20">4000000+800000*(A12-10)</f>
        <v>5600000</v>
      </c>
    </row>
    <row r="13" spans="1:2" ht="13.5">
      <c r="A13">
        <v>13</v>
      </c>
      <c r="B13" s="1">
        <f t="shared" si="0"/>
        <v>6400000</v>
      </c>
    </row>
    <row r="14" spans="1:2" ht="13.5">
      <c r="A14">
        <v>14</v>
      </c>
      <c r="B14" s="1">
        <f t="shared" si="0"/>
        <v>7200000</v>
      </c>
    </row>
    <row r="15" spans="1:2" ht="13.5">
      <c r="A15">
        <v>15</v>
      </c>
      <c r="B15" s="1">
        <f t="shared" si="0"/>
        <v>8000000</v>
      </c>
    </row>
    <row r="16" spans="1:2" ht="13.5">
      <c r="A16">
        <v>16</v>
      </c>
      <c r="B16" s="1">
        <f t="shared" si="0"/>
        <v>8800000</v>
      </c>
    </row>
    <row r="17" spans="1:2" ht="13.5">
      <c r="A17">
        <v>17</v>
      </c>
      <c r="B17" s="1">
        <f t="shared" si="0"/>
        <v>9600000</v>
      </c>
    </row>
    <row r="18" spans="1:2" ht="13.5">
      <c r="A18">
        <v>18</v>
      </c>
      <c r="B18" s="1">
        <f t="shared" si="0"/>
        <v>10400000</v>
      </c>
    </row>
    <row r="19" spans="1:2" ht="13.5">
      <c r="A19">
        <v>19</v>
      </c>
      <c r="B19" s="1">
        <f t="shared" si="0"/>
        <v>11200000</v>
      </c>
    </row>
    <row r="20" spans="1:2" ht="13.5">
      <c r="A20">
        <v>20</v>
      </c>
      <c r="B20" s="1">
        <f t="shared" si="0"/>
        <v>12000000</v>
      </c>
    </row>
    <row r="21" spans="1:2" ht="13.5">
      <c r="A21">
        <v>21</v>
      </c>
      <c r="B21" s="1">
        <f>12000000+1200000*(A21-20)</f>
        <v>13200000</v>
      </c>
    </row>
    <row r="22" spans="1:2" ht="13.5">
      <c r="A22">
        <v>22</v>
      </c>
      <c r="B22" s="1">
        <f>12000000+1200000*(A22-20)</f>
        <v>14400000</v>
      </c>
    </row>
    <row r="23" spans="1:2" ht="13.5">
      <c r="A23">
        <v>23</v>
      </c>
      <c r="B23" s="1">
        <f>12000000+1200000*(A23-20)</f>
        <v>15600000</v>
      </c>
    </row>
    <row r="24" spans="1:2" ht="13.5">
      <c r="A24">
        <v>24</v>
      </c>
      <c r="B24" s="1">
        <f>12000000+1200000*(A24-20)</f>
        <v>16800000</v>
      </c>
    </row>
    <row r="25" spans="1:2" ht="13.5">
      <c r="A25">
        <v>25</v>
      </c>
      <c r="B25" s="1">
        <f>12000000+1200000*(A25-20)</f>
        <v>18000000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 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80" zoomScaleNormal="80" zoomScalePageLayoutView="0" workbookViewId="0" topLeftCell="A1">
      <selection activeCell="N7" sqref="N7"/>
    </sheetView>
  </sheetViews>
  <sheetFormatPr defaultColWidth="8.88671875" defaultRowHeight="25.5" customHeight="1"/>
  <cols>
    <col min="1" max="1" width="1.88671875" style="88" customWidth="1"/>
    <col min="2" max="2" width="4.10546875" style="88" customWidth="1"/>
    <col min="3" max="3" width="4.99609375" style="88" customWidth="1"/>
    <col min="4" max="4" width="11.6640625" style="88" customWidth="1"/>
    <col min="5" max="5" width="12.10546875" style="88" customWidth="1"/>
    <col min="6" max="6" width="11.88671875" style="88" customWidth="1"/>
    <col min="7" max="7" width="11.5546875" style="88" bestFit="1" customWidth="1"/>
    <col min="8" max="8" width="11.77734375" style="88" customWidth="1"/>
    <col min="9" max="9" width="7.5546875" style="88" customWidth="1"/>
    <col min="10" max="10" width="10.99609375" style="88" customWidth="1"/>
    <col min="11" max="11" width="1.5625" style="88" customWidth="1"/>
    <col min="12" max="16384" width="8.88671875" style="88" customWidth="1"/>
  </cols>
  <sheetData>
    <row r="1" spans="1:11" ht="9.75" customHeight="1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3"/>
    </row>
    <row r="2" spans="1:11" s="86" customFormat="1" ht="73.5" customHeight="1" thickBot="1">
      <c r="A2" s="114"/>
      <c r="B2" s="183" t="s">
        <v>108</v>
      </c>
      <c r="C2" s="184"/>
      <c r="D2" s="184"/>
      <c r="E2" s="184"/>
      <c r="F2" s="185"/>
      <c r="G2" s="185"/>
      <c r="H2" s="184"/>
      <c r="I2" s="184"/>
      <c r="J2" s="186"/>
      <c r="K2" s="115"/>
    </row>
    <row r="3" spans="1:11" s="87" customFormat="1" ht="25.5" customHeight="1" thickBot="1">
      <c r="A3" s="116"/>
      <c r="B3" s="171" t="s">
        <v>109</v>
      </c>
      <c r="C3" s="170"/>
      <c r="D3" s="112" t="s">
        <v>110</v>
      </c>
      <c r="E3" s="141" t="s">
        <v>111</v>
      </c>
      <c r="F3" s="143" t="s">
        <v>112</v>
      </c>
      <c r="G3" s="143" t="s">
        <v>113</v>
      </c>
      <c r="H3" s="151" t="s">
        <v>114</v>
      </c>
      <c r="I3" s="149" t="s">
        <v>115</v>
      </c>
      <c r="J3" s="135" t="s">
        <v>116</v>
      </c>
      <c r="K3" s="117"/>
    </row>
    <row r="4" spans="1:11" ht="25.5" customHeight="1" thickBot="1" thickTop="1">
      <c r="A4" s="118"/>
      <c r="B4" s="167" t="s">
        <v>107</v>
      </c>
      <c r="C4" s="172"/>
      <c r="D4" s="137"/>
      <c r="E4" s="142"/>
      <c r="F4" s="144">
        <v>36528</v>
      </c>
      <c r="G4" s="144">
        <v>37259</v>
      </c>
      <c r="H4" s="152">
        <v>3</v>
      </c>
      <c r="I4" s="150">
        <f>SUM((G4-F4)+1)</f>
        <v>732</v>
      </c>
      <c r="J4" s="139"/>
      <c r="K4" s="119"/>
    </row>
    <row r="5" spans="1:11" s="89" customFormat="1" ht="25.5" customHeight="1" thickBot="1">
      <c r="A5" s="120"/>
      <c r="B5" s="175" t="s">
        <v>117</v>
      </c>
      <c r="C5" s="175"/>
      <c r="D5" s="175"/>
      <c r="E5" s="175"/>
      <c r="F5" s="175"/>
      <c r="G5" s="175"/>
      <c r="H5" s="175"/>
      <c r="I5" s="175"/>
      <c r="J5" s="175"/>
      <c r="K5" s="121"/>
    </row>
    <row r="6" spans="1:11" ht="25.5" customHeight="1" thickTop="1">
      <c r="A6" s="118"/>
      <c r="B6" s="122" t="s">
        <v>118</v>
      </c>
      <c r="C6" s="104"/>
      <c r="D6" s="104"/>
      <c r="E6" s="104"/>
      <c r="F6" s="104"/>
      <c r="G6" s="104"/>
      <c r="H6" s="104"/>
      <c r="I6" s="104"/>
      <c r="J6" s="104"/>
      <c r="K6" s="119"/>
    </row>
    <row r="7" spans="1:11" ht="29.25" customHeight="1">
      <c r="A7" s="118"/>
      <c r="B7" s="129" t="s">
        <v>119</v>
      </c>
      <c r="C7" s="90" t="s">
        <v>120</v>
      </c>
      <c r="D7" s="91" t="s">
        <v>158</v>
      </c>
      <c r="E7" s="91" t="s">
        <v>159</v>
      </c>
      <c r="F7" s="91" t="s">
        <v>160</v>
      </c>
      <c r="G7" s="176" t="s">
        <v>121</v>
      </c>
      <c r="H7" s="176"/>
      <c r="I7" s="176" t="s">
        <v>122</v>
      </c>
      <c r="J7" s="176"/>
      <c r="K7" s="119"/>
    </row>
    <row r="8" spans="1:11" ht="29.25" customHeight="1" thickBot="1">
      <c r="A8" s="118"/>
      <c r="B8" s="130"/>
      <c r="C8" s="92"/>
      <c r="D8" s="146" t="s">
        <v>53</v>
      </c>
      <c r="E8" s="146" t="s">
        <v>53</v>
      </c>
      <c r="F8" s="146" t="s">
        <v>53</v>
      </c>
      <c r="G8" s="199">
        <f>SUM(D9+E9+F9)</f>
        <v>2939730</v>
      </c>
      <c r="H8" s="196"/>
      <c r="I8" s="188">
        <f>SUM(G8/3)</f>
        <v>979910</v>
      </c>
      <c r="J8" s="188"/>
      <c r="K8" s="119"/>
    </row>
    <row r="9" spans="1:11" ht="29.25" customHeight="1" thickBot="1">
      <c r="A9" s="118"/>
      <c r="B9" s="127" t="s">
        <v>123</v>
      </c>
      <c r="C9" s="145" t="s">
        <v>124</v>
      </c>
      <c r="D9" s="147">
        <v>1083910</v>
      </c>
      <c r="E9" s="148">
        <v>870430</v>
      </c>
      <c r="F9" s="148">
        <v>985390</v>
      </c>
      <c r="G9" s="200"/>
      <c r="H9" s="201"/>
      <c r="I9" s="188"/>
      <c r="J9" s="188"/>
      <c r="K9" s="119"/>
    </row>
    <row r="10" spans="1:11" ht="29.25" customHeight="1" thickBot="1">
      <c r="A10" s="118"/>
      <c r="B10" s="176" t="s">
        <v>125</v>
      </c>
      <c r="C10" s="176"/>
      <c r="D10" s="198"/>
      <c r="E10" s="153">
        <v>132500</v>
      </c>
      <c r="F10" s="154">
        <v>246350</v>
      </c>
      <c r="G10" s="154">
        <v>246350</v>
      </c>
      <c r="H10" s="155">
        <v>246350</v>
      </c>
      <c r="I10" s="196">
        <f>SUM((E10+F10+G10+H10)/12)</f>
        <v>72629.16666666667</v>
      </c>
      <c r="J10" s="197"/>
      <c r="K10" s="119"/>
    </row>
    <row r="11" spans="1:11" ht="29.25" customHeight="1" thickBot="1" thickTop="1">
      <c r="A11" s="118"/>
      <c r="B11" s="162" t="s">
        <v>121</v>
      </c>
      <c r="C11" s="202"/>
      <c r="D11" s="202"/>
      <c r="E11" s="203"/>
      <c r="F11" s="203"/>
      <c r="G11" s="203"/>
      <c r="H11" s="203"/>
      <c r="I11" s="177">
        <f>SUM(I8:J10)</f>
        <v>1052539.1666666667</v>
      </c>
      <c r="J11" s="178"/>
      <c r="K11" s="119"/>
    </row>
    <row r="12" spans="1:11" ht="25.5" customHeight="1" thickTop="1">
      <c r="A12" s="118"/>
      <c r="B12" s="122" t="s">
        <v>126</v>
      </c>
      <c r="C12" s="104"/>
      <c r="D12" s="104"/>
      <c r="E12" s="104"/>
      <c r="F12" s="104"/>
      <c r="G12" s="104"/>
      <c r="H12" s="104"/>
      <c r="I12" s="104"/>
      <c r="J12" s="104"/>
      <c r="K12" s="119"/>
    </row>
    <row r="13" spans="1:11" ht="28.5" customHeight="1">
      <c r="A13" s="118"/>
      <c r="B13" s="176" t="s">
        <v>127</v>
      </c>
      <c r="C13" s="176"/>
      <c r="D13" s="176"/>
      <c r="E13" s="100"/>
      <c r="F13" s="101"/>
      <c r="G13" s="101"/>
      <c r="H13" s="102"/>
      <c r="I13" s="179"/>
      <c r="J13" s="179"/>
      <c r="K13" s="119"/>
    </row>
    <row r="14" spans="1:11" ht="28.5" customHeight="1">
      <c r="A14" s="118"/>
      <c r="B14" s="176" t="s">
        <v>128</v>
      </c>
      <c r="C14" s="176"/>
      <c r="D14" s="176"/>
      <c r="E14" s="100"/>
      <c r="F14" s="101"/>
      <c r="G14" s="101"/>
      <c r="H14" s="102"/>
      <c r="I14" s="179"/>
      <c r="J14" s="179"/>
      <c r="K14" s="119"/>
    </row>
    <row r="15" spans="1:11" ht="28.5" customHeight="1">
      <c r="A15" s="118"/>
      <c r="B15" s="176" t="s">
        <v>129</v>
      </c>
      <c r="C15" s="176"/>
      <c r="D15" s="176"/>
      <c r="E15" s="103">
        <f>SUM(I11)</f>
        <v>1052539.1666666667</v>
      </c>
      <c r="F15" s="101">
        <v>365</v>
      </c>
      <c r="G15" s="101">
        <f>SUM(I4)</f>
        <v>732</v>
      </c>
      <c r="H15" s="102"/>
      <c r="I15" s="187">
        <f>SUM(E15/F15*G15+H15)</f>
        <v>2110845.671232877</v>
      </c>
      <c r="J15" s="188"/>
      <c r="K15" s="119"/>
    </row>
    <row r="16" spans="1:11" ht="28.5" customHeight="1">
      <c r="A16" s="118"/>
      <c r="B16" s="176" t="s">
        <v>130</v>
      </c>
      <c r="C16" s="176"/>
      <c r="D16" s="176"/>
      <c r="E16" s="100"/>
      <c r="F16" s="101"/>
      <c r="G16" s="101"/>
      <c r="H16" s="102"/>
      <c r="I16" s="173">
        <f>SUM(I13:J15)</f>
        <v>2110845.671232877</v>
      </c>
      <c r="J16" s="174"/>
      <c r="K16" s="119"/>
    </row>
    <row r="17" spans="1:11" ht="25.5" customHeight="1">
      <c r="A17" s="118"/>
      <c r="B17" s="122" t="s">
        <v>131</v>
      </c>
      <c r="C17" s="104"/>
      <c r="D17" s="104"/>
      <c r="E17" s="104"/>
      <c r="F17" s="104"/>
      <c r="G17" s="104"/>
      <c r="H17" s="104"/>
      <c r="I17" s="104"/>
      <c r="J17" s="104"/>
      <c r="K17" s="119"/>
    </row>
    <row r="18" spans="1:11" ht="39" customHeight="1">
      <c r="A18" s="118"/>
      <c r="B18" s="189" t="s">
        <v>132</v>
      </c>
      <c r="C18" s="192" t="s">
        <v>133</v>
      </c>
      <c r="D18" s="132" t="s">
        <v>134</v>
      </c>
      <c r="E18" s="164">
        <f>SUM(I15)</f>
        <v>2110845.671232877</v>
      </c>
      <c r="F18" s="165"/>
      <c r="G18" s="194" t="s">
        <v>135</v>
      </c>
      <c r="H18" s="162" t="s">
        <v>136</v>
      </c>
      <c r="I18" s="163"/>
      <c r="J18" s="105">
        <f>SUM(E20-E23)</f>
        <v>155422.83561643842</v>
      </c>
      <c r="K18" s="119"/>
    </row>
    <row r="19" spans="1:11" ht="39" customHeight="1">
      <c r="A19" s="118"/>
      <c r="B19" s="190"/>
      <c r="C19" s="193"/>
      <c r="D19" s="132" t="s">
        <v>137</v>
      </c>
      <c r="E19" s="164"/>
      <c r="F19" s="165"/>
      <c r="G19" s="194"/>
      <c r="H19" s="162" t="s">
        <v>138</v>
      </c>
      <c r="I19" s="163"/>
      <c r="J19" s="108">
        <f>SUM(J18/H4)</f>
        <v>51807.61187214614</v>
      </c>
      <c r="K19" s="119"/>
    </row>
    <row r="20" spans="1:11" ht="39" customHeight="1">
      <c r="A20" s="118"/>
      <c r="B20" s="190"/>
      <c r="C20" s="93" t="s">
        <v>139</v>
      </c>
      <c r="D20" s="128" t="s">
        <v>121</v>
      </c>
      <c r="E20" s="164">
        <f>SUM(E18:F19)</f>
        <v>2110845.671232877</v>
      </c>
      <c r="F20" s="165"/>
      <c r="G20" s="194" t="s">
        <v>140</v>
      </c>
      <c r="H20" s="162" t="s">
        <v>141</v>
      </c>
      <c r="I20" s="163"/>
      <c r="J20" s="106">
        <v>0.09</v>
      </c>
      <c r="K20" s="119"/>
    </row>
    <row r="21" spans="1:11" ht="39" customHeight="1">
      <c r="A21" s="118"/>
      <c r="B21" s="190" t="s">
        <v>142</v>
      </c>
      <c r="C21" s="90" t="s">
        <v>133</v>
      </c>
      <c r="D21" s="133" t="s">
        <v>143</v>
      </c>
      <c r="E21" s="164">
        <f>SUM(I16*50%)</f>
        <v>1055422.8356164384</v>
      </c>
      <c r="F21" s="165"/>
      <c r="G21" s="195"/>
      <c r="H21" s="162" t="s">
        <v>144</v>
      </c>
      <c r="I21" s="163"/>
      <c r="J21" s="107">
        <f>SUM(J19*J20)</f>
        <v>4662.685068493152</v>
      </c>
      <c r="K21" s="119"/>
    </row>
    <row r="22" spans="1:11" ht="39" customHeight="1">
      <c r="A22" s="118"/>
      <c r="B22" s="190"/>
      <c r="C22" s="92" t="s">
        <v>139</v>
      </c>
      <c r="D22" s="134" t="s">
        <v>145</v>
      </c>
      <c r="E22" s="164">
        <f>VLOOKUP(H4,소득공제!$A$1:$B$25,2,FALSE)</f>
        <v>900000</v>
      </c>
      <c r="F22" s="165"/>
      <c r="G22" s="195"/>
      <c r="H22" s="162" t="s">
        <v>146</v>
      </c>
      <c r="I22" s="163"/>
      <c r="J22" s="107">
        <f>SUM(J21*H4)</f>
        <v>13988.055205479457</v>
      </c>
      <c r="K22" s="119"/>
    </row>
    <row r="23" spans="1:11" ht="39" customHeight="1">
      <c r="A23" s="118"/>
      <c r="B23" s="191"/>
      <c r="C23" s="93" t="s">
        <v>147</v>
      </c>
      <c r="D23" s="131" t="s">
        <v>121</v>
      </c>
      <c r="E23" s="164">
        <f>SUM(E21:F22)</f>
        <v>1955422.8356164384</v>
      </c>
      <c r="F23" s="165"/>
      <c r="G23" s="99" t="s">
        <v>148</v>
      </c>
      <c r="H23" s="162" t="s">
        <v>149</v>
      </c>
      <c r="I23" s="163"/>
      <c r="J23" s="109">
        <f>IF(J22/2&lt;240000*H4,INT(J22/2),INT(240000*H4))</f>
        <v>6994</v>
      </c>
      <c r="K23" s="119"/>
    </row>
    <row r="24" spans="1:11" ht="25.5" customHeight="1" thickBot="1">
      <c r="A24" s="118"/>
      <c r="B24" s="168" t="s">
        <v>150</v>
      </c>
      <c r="C24" s="168"/>
      <c r="D24" s="168"/>
      <c r="E24" s="104"/>
      <c r="F24" s="104"/>
      <c r="G24" s="104"/>
      <c r="H24" s="104"/>
      <c r="I24" s="104"/>
      <c r="J24" s="104"/>
      <c r="K24" s="119"/>
    </row>
    <row r="25" spans="1:11" ht="33.75" customHeight="1">
      <c r="A25" s="118"/>
      <c r="B25" s="166" t="s">
        <v>151</v>
      </c>
      <c r="C25" s="170" t="s">
        <v>152</v>
      </c>
      <c r="D25" s="170"/>
      <c r="E25" s="112" t="s">
        <v>153</v>
      </c>
      <c r="F25" s="112" t="s">
        <v>154</v>
      </c>
      <c r="G25" s="112" t="s">
        <v>155</v>
      </c>
      <c r="H25" s="112" t="s">
        <v>121</v>
      </c>
      <c r="I25" s="170" t="s">
        <v>156</v>
      </c>
      <c r="J25" s="180"/>
      <c r="K25" s="119"/>
    </row>
    <row r="26" spans="1:11" ht="33.75" customHeight="1" thickBot="1">
      <c r="A26" s="118"/>
      <c r="B26" s="167"/>
      <c r="C26" s="169">
        <f>SUM(J23)</f>
        <v>6994</v>
      </c>
      <c r="D26" s="169"/>
      <c r="E26" s="126">
        <f>SUM(C26*10%)</f>
        <v>699.4000000000001</v>
      </c>
      <c r="F26" s="126"/>
      <c r="G26" s="126"/>
      <c r="H26" s="126">
        <f>SUM(C26:G26)</f>
        <v>7693.4</v>
      </c>
      <c r="I26" s="181">
        <f>SUM(I16-H26)</f>
        <v>2103152.271232877</v>
      </c>
      <c r="J26" s="182"/>
      <c r="K26" s="119"/>
    </row>
    <row r="27" spans="1:11" ht="11.25" customHeight="1" thickBo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5"/>
    </row>
  </sheetData>
  <sheetProtection/>
  <mergeCells count="43">
    <mergeCell ref="I14:J14"/>
    <mergeCell ref="B10:D10"/>
    <mergeCell ref="I7:J7"/>
    <mergeCell ref="G8:H9"/>
    <mergeCell ref="I8:J9"/>
    <mergeCell ref="G7:H7"/>
    <mergeCell ref="B11:H11"/>
    <mergeCell ref="I25:J25"/>
    <mergeCell ref="I26:J26"/>
    <mergeCell ref="B2:J2"/>
    <mergeCell ref="I15:J15"/>
    <mergeCell ref="B18:B20"/>
    <mergeCell ref="B21:B23"/>
    <mergeCell ref="C18:C19"/>
    <mergeCell ref="G18:G19"/>
    <mergeCell ref="G20:G22"/>
    <mergeCell ref="I10:J10"/>
    <mergeCell ref="B3:C3"/>
    <mergeCell ref="B4:C4"/>
    <mergeCell ref="I16:J16"/>
    <mergeCell ref="B5:J5"/>
    <mergeCell ref="B15:D15"/>
    <mergeCell ref="B16:D16"/>
    <mergeCell ref="I11:J11"/>
    <mergeCell ref="B13:D13"/>
    <mergeCell ref="B14:D14"/>
    <mergeCell ref="I13:J13"/>
    <mergeCell ref="E18:F18"/>
    <mergeCell ref="E19:F19"/>
    <mergeCell ref="E20:F20"/>
    <mergeCell ref="E22:F22"/>
    <mergeCell ref="E23:F23"/>
    <mergeCell ref="B25:B26"/>
    <mergeCell ref="B24:D24"/>
    <mergeCell ref="C26:D26"/>
    <mergeCell ref="C25:D25"/>
    <mergeCell ref="E21:F21"/>
    <mergeCell ref="H23:I23"/>
    <mergeCell ref="H22:I22"/>
    <mergeCell ref="H21:I21"/>
    <mergeCell ref="H20:I20"/>
    <mergeCell ref="H19:I19"/>
    <mergeCell ref="H18:I18"/>
  </mergeCells>
  <printOptions/>
  <pageMargins left="0.42" right="0.21" top="0.51" bottom="0.3" header="0.38" footer="0.19"/>
  <pageSetup fitToHeight="1" fitToWidth="1" horizontalDpi="300" verticalDpi="300" orientation="portrait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80" zoomScaleNormal="80" zoomScalePageLayoutView="0" workbookViewId="0" topLeftCell="A16">
      <selection activeCell="H19" sqref="H19:I19"/>
    </sheetView>
  </sheetViews>
  <sheetFormatPr defaultColWidth="8.88671875" defaultRowHeight="25.5" customHeight="1"/>
  <cols>
    <col min="1" max="1" width="1.88671875" style="88" customWidth="1"/>
    <col min="2" max="2" width="4.10546875" style="88" customWidth="1"/>
    <col min="3" max="3" width="4.99609375" style="88" customWidth="1"/>
    <col min="4" max="4" width="11.6640625" style="88" customWidth="1"/>
    <col min="5" max="5" width="12.10546875" style="88" customWidth="1"/>
    <col min="6" max="6" width="11.88671875" style="88" customWidth="1"/>
    <col min="7" max="7" width="11.5546875" style="88" bestFit="1" customWidth="1"/>
    <col min="8" max="8" width="11.77734375" style="88" customWidth="1"/>
    <col min="9" max="9" width="7.5546875" style="88" customWidth="1"/>
    <col min="10" max="10" width="10.99609375" style="88" customWidth="1"/>
    <col min="11" max="11" width="1.5625" style="88" customWidth="1"/>
    <col min="12" max="16384" width="8.88671875" style="88" customWidth="1"/>
  </cols>
  <sheetData>
    <row r="1" spans="1:11" ht="9.75" customHeight="1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3"/>
    </row>
    <row r="2" spans="1:11" s="86" customFormat="1" ht="73.5" customHeight="1" thickBot="1">
      <c r="A2" s="114"/>
      <c r="B2" s="183" t="s">
        <v>54</v>
      </c>
      <c r="C2" s="184"/>
      <c r="D2" s="184"/>
      <c r="E2" s="184"/>
      <c r="F2" s="184"/>
      <c r="G2" s="184"/>
      <c r="H2" s="184"/>
      <c r="I2" s="184"/>
      <c r="J2" s="186"/>
      <c r="K2" s="115"/>
    </row>
    <row r="3" spans="1:11" s="87" customFormat="1" ht="25.5" customHeight="1">
      <c r="A3" s="116"/>
      <c r="B3" s="171" t="s">
        <v>55</v>
      </c>
      <c r="C3" s="170"/>
      <c r="D3" s="112" t="s">
        <v>56</v>
      </c>
      <c r="E3" s="112" t="s">
        <v>57</v>
      </c>
      <c r="F3" s="112" t="s">
        <v>58</v>
      </c>
      <c r="G3" s="112" t="s">
        <v>59</v>
      </c>
      <c r="H3" s="112" t="s">
        <v>60</v>
      </c>
      <c r="I3" s="136" t="s">
        <v>61</v>
      </c>
      <c r="J3" s="135" t="s">
        <v>62</v>
      </c>
      <c r="K3" s="117"/>
    </row>
    <row r="4" spans="1:11" ht="25.5" customHeight="1" thickBot="1">
      <c r="A4" s="118"/>
      <c r="B4" s="167" t="s">
        <v>157</v>
      </c>
      <c r="C4" s="172"/>
      <c r="D4" s="137"/>
      <c r="E4" s="137"/>
      <c r="F4" s="138">
        <v>36528</v>
      </c>
      <c r="G4" s="138">
        <v>36922</v>
      </c>
      <c r="H4" s="140">
        <v>1</v>
      </c>
      <c r="I4" s="137">
        <f>SUM((G4-F4)+1)</f>
        <v>395</v>
      </c>
      <c r="J4" s="139"/>
      <c r="K4" s="119"/>
    </row>
    <row r="5" spans="1:11" s="89" customFormat="1" ht="25.5" customHeight="1" thickBot="1">
      <c r="A5" s="120"/>
      <c r="B5" s="175" t="s">
        <v>63</v>
      </c>
      <c r="C5" s="175"/>
      <c r="D5" s="175"/>
      <c r="E5" s="175"/>
      <c r="F5" s="175"/>
      <c r="G5" s="175"/>
      <c r="H5" s="175"/>
      <c r="I5" s="175"/>
      <c r="J5" s="175"/>
      <c r="K5" s="121"/>
    </row>
    <row r="6" spans="1:11" ht="25.5" customHeight="1" thickTop="1">
      <c r="A6" s="118"/>
      <c r="B6" s="122" t="s">
        <v>64</v>
      </c>
      <c r="C6" s="104"/>
      <c r="D6" s="104"/>
      <c r="E6" s="104"/>
      <c r="F6" s="104"/>
      <c r="G6" s="104"/>
      <c r="H6" s="104"/>
      <c r="I6" s="104"/>
      <c r="J6" s="104"/>
      <c r="K6" s="119"/>
    </row>
    <row r="7" spans="1:11" ht="29.25" customHeight="1">
      <c r="A7" s="118"/>
      <c r="B7" s="129" t="s">
        <v>65</v>
      </c>
      <c r="C7" s="90" t="s">
        <v>66</v>
      </c>
      <c r="D7" s="91" t="s">
        <v>67</v>
      </c>
      <c r="E7" s="91" t="s">
        <v>68</v>
      </c>
      <c r="F7" s="91" t="s">
        <v>69</v>
      </c>
      <c r="G7" s="176" t="s">
        <v>70</v>
      </c>
      <c r="H7" s="176"/>
      <c r="I7" s="176" t="s">
        <v>71</v>
      </c>
      <c r="J7" s="176"/>
      <c r="K7" s="119"/>
    </row>
    <row r="8" spans="1:11" ht="29.25" customHeight="1">
      <c r="A8" s="118"/>
      <c r="B8" s="130"/>
      <c r="C8" s="92"/>
      <c r="D8" s="91" t="s">
        <v>72</v>
      </c>
      <c r="E8" s="91" t="s">
        <v>72</v>
      </c>
      <c r="F8" s="91" t="s">
        <v>72</v>
      </c>
      <c r="G8" s="199">
        <f>SUM(D9+E9+F9)</f>
        <v>2688800</v>
      </c>
      <c r="H8" s="196"/>
      <c r="I8" s="188">
        <f>SUM(G8/3)</f>
        <v>896266.6666666666</v>
      </c>
      <c r="J8" s="188"/>
      <c r="K8" s="119"/>
    </row>
    <row r="9" spans="1:11" ht="29.25" customHeight="1">
      <c r="A9" s="118"/>
      <c r="B9" s="127" t="s">
        <v>73</v>
      </c>
      <c r="C9" s="93" t="s">
        <v>74</v>
      </c>
      <c r="D9" s="94">
        <v>844760</v>
      </c>
      <c r="E9" s="95">
        <v>896140</v>
      </c>
      <c r="F9" s="95">
        <v>947900</v>
      </c>
      <c r="G9" s="204"/>
      <c r="H9" s="205"/>
      <c r="I9" s="188"/>
      <c r="J9" s="188"/>
      <c r="K9" s="119"/>
    </row>
    <row r="10" spans="1:11" ht="29.25" customHeight="1" thickBot="1">
      <c r="A10" s="118"/>
      <c r="B10" s="176" t="s">
        <v>75</v>
      </c>
      <c r="C10" s="176"/>
      <c r="D10" s="162"/>
      <c r="E10" s="96">
        <v>129250</v>
      </c>
      <c r="F10" s="97">
        <f>SUM(E10)</f>
        <v>129250</v>
      </c>
      <c r="G10" s="97">
        <f>SUM(E10)</f>
        <v>129250</v>
      </c>
      <c r="H10" s="98">
        <f>SUM(E10)</f>
        <v>129250</v>
      </c>
      <c r="I10" s="196">
        <f>SUM((E10+F10+G10+H10)/12)</f>
        <v>43083.333333333336</v>
      </c>
      <c r="J10" s="197"/>
      <c r="K10" s="119"/>
    </row>
    <row r="11" spans="1:11" ht="29.25" customHeight="1" thickBot="1" thickTop="1">
      <c r="A11" s="118"/>
      <c r="B11" s="162" t="s">
        <v>70</v>
      </c>
      <c r="C11" s="202"/>
      <c r="D11" s="202"/>
      <c r="E11" s="202"/>
      <c r="F11" s="202"/>
      <c r="G11" s="202"/>
      <c r="H11" s="202"/>
      <c r="I11" s="177">
        <f>SUM(I8:J10)</f>
        <v>939350</v>
      </c>
      <c r="J11" s="178"/>
      <c r="K11" s="119"/>
    </row>
    <row r="12" spans="1:11" ht="25.5" customHeight="1" thickTop="1">
      <c r="A12" s="118"/>
      <c r="B12" s="122" t="s">
        <v>76</v>
      </c>
      <c r="C12" s="104"/>
      <c r="D12" s="104"/>
      <c r="E12" s="104"/>
      <c r="F12" s="104"/>
      <c r="G12" s="104"/>
      <c r="H12" s="104"/>
      <c r="I12" s="104"/>
      <c r="J12" s="104"/>
      <c r="K12" s="119"/>
    </row>
    <row r="13" spans="1:11" ht="28.5" customHeight="1">
      <c r="A13" s="118"/>
      <c r="B13" s="176" t="s">
        <v>77</v>
      </c>
      <c r="C13" s="176"/>
      <c r="D13" s="176"/>
      <c r="E13" s="100"/>
      <c r="F13" s="101"/>
      <c r="G13" s="101"/>
      <c r="H13" s="102"/>
      <c r="I13" s="179"/>
      <c r="J13" s="179"/>
      <c r="K13" s="119"/>
    </row>
    <row r="14" spans="1:11" ht="28.5" customHeight="1">
      <c r="A14" s="118"/>
      <c r="B14" s="176" t="s">
        <v>78</v>
      </c>
      <c r="C14" s="176"/>
      <c r="D14" s="176"/>
      <c r="E14" s="100"/>
      <c r="F14" s="101"/>
      <c r="G14" s="101"/>
      <c r="H14" s="102"/>
      <c r="I14" s="179"/>
      <c r="J14" s="179"/>
      <c r="K14" s="119"/>
    </row>
    <row r="15" spans="1:11" ht="28.5" customHeight="1">
      <c r="A15" s="118"/>
      <c r="B15" s="176" t="s">
        <v>79</v>
      </c>
      <c r="C15" s="176"/>
      <c r="D15" s="176"/>
      <c r="E15" s="103">
        <f>SUM(I11)</f>
        <v>939350</v>
      </c>
      <c r="F15" s="101">
        <v>365</v>
      </c>
      <c r="G15" s="101">
        <f>SUM(I4)</f>
        <v>395</v>
      </c>
      <c r="H15" s="102"/>
      <c r="I15" s="187">
        <f>SUM(E15/F15*G15+H15)</f>
        <v>1016556.8493150685</v>
      </c>
      <c r="J15" s="188"/>
      <c r="K15" s="119"/>
    </row>
    <row r="16" spans="1:11" ht="28.5" customHeight="1">
      <c r="A16" s="118"/>
      <c r="B16" s="176" t="s">
        <v>80</v>
      </c>
      <c r="C16" s="176"/>
      <c r="D16" s="176"/>
      <c r="E16" s="100"/>
      <c r="F16" s="101"/>
      <c r="G16" s="101"/>
      <c r="H16" s="102"/>
      <c r="I16" s="173">
        <f>SUM(I13:J15)</f>
        <v>1016556.8493150685</v>
      </c>
      <c r="J16" s="174"/>
      <c r="K16" s="119"/>
    </row>
    <row r="17" spans="1:11" ht="25.5" customHeight="1">
      <c r="A17" s="118"/>
      <c r="B17" s="122" t="s">
        <v>81</v>
      </c>
      <c r="C17" s="104"/>
      <c r="D17" s="104"/>
      <c r="E17" s="104"/>
      <c r="F17" s="104"/>
      <c r="G17" s="104"/>
      <c r="H17" s="104"/>
      <c r="I17" s="104"/>
      <c r="J17" s="104"/>
      <c r="K17" s="119"/>
    </row>
    <row r="18" spans="1:11" ht="39" customHeight="1">
      <c r="A18" s="118"/>
      <c r="B18" s="189" t="s">
        <v>82</v>
      </c>
      <c r="C18" s="192" t="s">
        <v>83</v>
      </c>
      <c r="D18" s="132" t="s">
        <v>84</v>
      </c>
      <c r="E18" s="164">
        <f>SUM(I15)</f>
        <v>1016556.8493150685</v>
      </c>
      <c r="F18" s="165"/>
      <c r="G18" s="194" t="s">
        <v>85</v>
      </c>
      <c r="H18" s="162" t="s">
        <v>86</v>
      </c>
      <c r="I18" s="163"/>
      <c r="J18" s="105">
        <f>SUM(E20-E23)</f>
        <v>208278.42465753423</v>
      </c>
      <c r="K18" s="119"/>
    </row>
    <row r="19" spans="1:11" ht="39" customHeight="1">
      <c r="A19" s="118"/>
      <c r="B19" s="190"/>
      <c r="C19" s="193"/>
      <c r="D19" s="132" t="s">
        <v>87</v>
      </c>
      <c r="E19" s="164"/>
      <c r="F19" s="165"/>
      <c r="G19" s="194"/>
      <c r="H19" s="162" t="s">
        <v>88</v>
      </c>
      <c r="I19" s="163"/>
      <c r="J19" s="108">
        <f>SUM(J18/H4)</f>
        <v>208278.42465753423</v>
      </c>
      <c r="K19" s="119"/>
    </row>
    <row r="20" spans="1:11" ht="39" customHeight="1">
      <c r="A20" s="118"/>
      <c r="B20" s="190"/>
      <c r="C20" s="93" t="s">
        <v>89</v>
      </c>
      <c r="D20" s="128" t="s">
        <v>70</v>
      </c>
      <c r="E20" s="164">
        <f>SUM(E18:F19)</f>
        <v>1016556.8493150685</v>
      </c>
      <c r="F20" s="165"/>
      <c r="G20" s="194" t="s">
        <v>90</v>
      </c>
      <c r="H20" s="162" t="s">
        <v>91</v>
      </c>
      <c r="I20" s="163"/>
      <c r="J20" s="106">
        <v>0.09</v>
      </c>
      <c r="K20" s="119"/>
    </row>
    <row r="21" spans="1:11" ht="39" customHeight="1">
      <c r="A21" s="118"/>
      <c r="B21" s="190" t="s">
        <v>92</v>
      </c>
      <c r="C21" s="90" t="s">
        <v>83</v>
      </c>
      <c r="D21" s="133" t="s">
        <v>93</v>
      </c>
      <c r="E21" s="164">
        <f>SUM(I16*50%)</f>
        <v>508278.4246575342</v>
      </c>
      <c r="F21" s="165"/>
      <c r="G21" s="195"/>
      <c r="H21" s="162" t="s">
        <v>94</v>
      </c>
      <c r="I21" s="163"/>
      <c r="J21" s="107">
        <f>SUM(J19*J20)</f>
        <v>18745.05821917808</v>
      </c>
      <c r="K21" s="119"/>
    </row>
    <row r="22" spans="1:11" ht="39" customHeight="1">
      <c r="A22" s="118"/>
      <c r="B22" s="190"/>
      <c r="C22" s="92" t="s">
        <v>89</v>
      </c>
      <c r="D22" s="134" t="s">
        <v>95</v>
      </c>
      <c r="E22" s="164">
        <f>VLOOKUP(H4,소득공제!$A$1:$B$25,2,FALSE)</f>
        <v>300000</v>
      </c>
      <c r="F22" s="165"/>
      <c r="G22" s="195"/>
      <c r="H22" s="162" t="s">
        <v>96</v>
      </c>
      <c r="I22" s="163"/>
      <c r="J22" s="107">
        <f>SUM(J21*H4)</f>
        <v>18745.05821917808</v>
      </c>
      <c r="K22" s="119"/>
    </row>
    <row r="23" spans="1:11" ht="39" customHeight="1">
      <c r="A23" s="118"/>
      <c r="B23" s="191"/>
      <c r="C23" s="93" t="s">
        <v>97</v>
      </c>
      <c r="D23" s="131" t="s">
        <v>70</v>
      </c>
      <c r="E23" s="164">
        <f>SUM(E21:F22)</f>
        <v>808278.4246575342</v>
      </c>
      <c r="F23" s="165"/>
      <c r="G23" s="99" t="s">
        <v>98</v>
      </c>
      <c r="H23" s="162" t="s">
        <v>99</v>
      </c>
      <c r="I23" s="163"/>
      <c r="J23" s="109">
        <f>IF(J22/2&lt;240000*H4,INT(J22/2),INT(240000*H4))</f>
        <v>9372</v>
      </c>
      <c r="K23" s="119"/>
    </row>
    <row r="24" spans="1:11" ht="25.5" customHeight="1" thickBot="1">
      <c r="A24" s="118"/>
      <c r="B24" s="168" t="s">
        <v>100</v>
      </c>
      <c r="C24" s="168"/>
      <c r="D24" s="168"/>
      <c r="E24" s="104"/>
      <c r="F24" s="104"/>
      <c r="G24" s="104"/>
      <c r="H24" s="104"/>
      <c r="I24" s="104"/>
      <c r="J24" s="104"/>
      <c r="K24" s="119"/>
    </row>
    <row r="25" spans="1:11" ht="33.75" customHeight="1">
      <c r="A25" s="118"/>
      <c r="B25" s="166" t="s">
        <v>101</v>
      </c>
      <c r="C25" s="170" t="s">
        <v>102</v>
      </c>
      <c r="D25" s="170"/>
      <c r="E25" s="112" t="s">
        <v>103</v>
      </c>
      <c r="F25" s="112" t="s">
        <v>104</v>
      </c>
      <c r="G25" s="112" t="s">
        <v>105</v>
      </c>
      <c r="H25" s="112" t="s">
        <v>70</v>
      </c>
      <c r="I25" s="170" t="s">
        <v>106</v>
      </c>
      <c r="J25" s="180"/>
      <c r="K25" s="119"/>
    </row>
    <row r="26" spans="1:11" ht="33.75" customHeight="1" thickBot="1">
      <c r="A26" s="118"/>
      <c r="B26" s="167"/>
      <c r="C26" s="169">
        <f>SUM(J23)</f>
        <v>9372</v>
      </c>
      <c r="D26" s="169"/>
      <c r="E26" s="126">
        <f>SUM(C26*10%)</f>
        <v>937.2</v>
      </c>
      <c r="F26" s="126"/>
      <c r="G26" s="126"/>
      <c r="H26" s="126">
        <f>SUM(C26:G26)</f>
        <v>10309.2</v>
      </c>
      <c r="I26" s="181">
        <f>SUM(I16-H26)</f>
        <v>1006247.6493150685</v>
      </c>
      <c r="J26" s="182"/>
      <c r="K26" s="119"/>
    </row>
    <row r="27" spans="1:11" ht="11.25" customHeight="1" thickBo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5"/>
    </row>
  </sheetData>
  <sheetProtection/>
  <mergeCells count="43">
    <mergeCell ref="H19:I19"/>
    <mergeCell ref="H18:I18"/>
    <mergeCell ref="E18:F18"/>
    <mergeCell ref="E19:F19"/>
    <mergeCell ref="H23:I23"/>
    <mergeCell ref="H22:I22"/>
    <mergeCell ref="H21:I21"/>
    <mergeCell ref="H20:I20"/>
    <mergeCell ref="E20:F20"/>
    <mergeCell ref="E22:F22"/>
    <mergeCell ref="E23:F23"/>
    <mergeCell ref="B25:B26"/>
    <mergeCell ref="B24:D24"/>
    <mergeCell ref="C26:D26"/>
    <mergeCell ref="C25:D25"/>
    <mergeCell ref="E21:F21"/>
    <mergeCell ref="B3:C3"/>
    <mergeCell ref="B4:C4"/>
    <mergeCell ref="I16:J16"/>
    <mergeCell ref="B5:J5"/>
    <mergeCell ref="B15:D15"/>
    <mergeCell ref="B16:D16"/>
    <mergeCell ref="I11:J11"/>
    <mergeCell ref="B13:D13"/>
    <mergeCell ref="B14:D14"/>
    <mergeCell ref="I13:J13"/>
    <mergeCell ref="I25:J25"/>
    <mergeCell ref="I26:J26"/>
    <mergeCell ref="B2:J2"/>
    <mergeCell ref="I15:J15"/>
    <mergeCell ref="B18:B20"/>
    <mergeCell ref="B21:B23"/>
    <mergeCell ref="C18:C19"/>
    <mergeCell ref="G18:G19"/>
    <mergeCell ref="G20:G22"/>
    <mergeCell ref="I10:J10"/>
    <mergeCell ref="I14:J14"/>
    <mergeCell ref="B10:D10"/>
    <mergeCell ref="I7:J7"/>
    <mergeCell ref="G8:H9"/>
    <mergeCell ref="I8:J9"/>
    <mergeCell ref="G7:H7"/>
    <mergeCell ref="B11:H11"/>
  </mergeCells>
  <printOptions/>
  <pageMargins left="0.42" right="0.21" top="0.51" bottom="0.3" header="0.38" footer="0.19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세이브마트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김동권</dc:creator>
  <cp:keywords/>
  <dc:description/>
  <cp:lastModifiedBy>user</cp:lastModifiedBy>
  <cp:lastPrinted>2001-12-24T08:39:40Z</cp:lastPrinted>
  <dcterms:created xsi:type="dcterms:W3CDTF">1998-02-25T03:16:35Z</dcterms:created>
  <dcterms:modified xsi:type="dcterms:W3CDTF">2013-06-28T09:22:51Z</dcterms:modified>
  <cp:category/>
  <cp:version/>
  <cp:contentType/>
  <cp:contentStatus/>
</cp:coreProperties>
</file>